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orenzo\Desktop\"/>
    </mc:Choice>
  </mc:AlternateContent>
  <xr:revisionPtr revIDLastSave="0" documentId="8_{9B5F3924-DCCB-47CB-933F-7BD50633B8BB}" xr6:coauthVersionLast="47" xr6:coauthVersionMax="47" xr10:uidLastSave="{00000000-0000-0000-0000-000000000000}"/>
  <bookViews>
    <workbookView xWindow="-98" yWindow="-98" windowWidth="28996" windowHeight="15796" xr2:uid="{2814D49A-A41C-4A00-9080-5CD5C7F00D68}"/>
  </bookViews>
  <sheets>
    <sheet name="Info" sheetId="1" r:id="rId1"/>
    <sheet name="Daten" sheetId="2" state="hidden" r:id="rId2"/>
    <sheet name="W_Fläche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8" i="2" l="1"/>
  <c r="S8" i="2"/>
  <c r="U8" i="2"/>
  <c r="W8" i="2"/>
  <c r="Y8" i="2"/>
  <c r="AA8" i="2"/>
  <c r="AC8" i="2"/>
  <c r="AE8" i="2"/>
  <c r="AG8" i="2"/>
  <c r="Q9" i="2"/>
  <c r="S9" i="2"/>
  <c r="U9" i="2"/>
  <c r="W9" i="2"/>
  <c r="Y9" i="2"/>
  <c r="AA9" i="2"/>
  <c r="AC9" i="2"/>
  <c r="AE9" i="2"/>
  <c r="AG9" i="2"/>
  <c r="Q10" i="2"/>
  <c r="S10" i="2"/>
  <c r="U10" i="2"/>
  <c r="W10" i="2"/>
  <c r="Y10" i="2"/>
  <c r="AA10" i="2"/>
  <c r="AC10" i="2"/>
  <c r="AE10" i="2"/>
  <c r="AG10" i="2"/>
  <c r="O42" i="2"/>
  <c r="T42" i="2"/>
  <c r="AK42" i="2"/>
  <c r="W42" i="2"/>
  <c r="O43" i="2"/>
  <c r="T43" i="2"/>
  <c r="W43" i="2"/>
  <c r="AK43" i="2"/>
  <c r="O44" i="2"/>
  <c r="T44" i="2"/>
  <c r="W44" i="2"/>
  <c r="AK44" i="2"/>
  <c r="O45" i="2"/>
  <c r="T45" i="2"/>
  <c r="W45" i="2"/>
  <c r="AK45" i="2"/>
  <c r="O46" i="2"/>
  <c r="T46" i="2"/>
  <c r="W46" i="2"/>
  <c r="AK46" i="2"/>
  <c r="O47" i="2"/>
  <c r="T47" i="2"/>
  <c r="W47" i="2"/>
  <c r="AK47" i="2"/>
  <c r="O48" i="2"/>
  <c r="T48" i="2"/>
  <c r="W48" i="2"/>
  <c r="AK48" i="2"/>
  <c r="O49" i="2"/>
  <c r="T49" i="2"/>
  <c r="W49" i="2"/>
  <c r="AK49" i="2"/>
  <c r="O50" i="2"/>
  <c r="T50" i="2"/>
  <c r="W50" i="2"/>
  <c r="AK50" i="2"/>
  <c r="O51" i="2"/>
  <c r="T51" i="2"/>
  <c r="W51" i="2"/>
  <c r="AK51" i="2"/>
  <c r="O52" i="2"/>
  <c r="T52" i="2"/>
  <c r="W52" i="2"/>
  <c r="AK52" i="2"/>
  <c r="O53" i="2"/>
  <c r="T53" i="2"/>
  <c r="W53" i="2"/>
  <c r="AK53" i="2"/>
  <c r="O54" i="2"/>
  <c r="T54" i="2"/>
  <c r="W54" i="2"/>
  <c r="AK54" i="2"/>
  <c r="O55" i="2"/>
  <c r="T55" i="2"/>
  <c r="W55" i="2"/>
  <c r="AK55" i="2"/>
  <c r="O56" i="2"/>
  <c r="T56" i="2"/>
  <c r="W56" i="2"/>
  <c r="AK56" i="2"/>
  <c r="O57" i="2"/>
  <c r="T57" i="2"/>
  <c r="W57" i="2"/>
  <c r="AK57" i="2"/>
  <c r="O58" i="2"/>
  <c r="T58" i="2"/>
  <c r="W58" i="2"/>
  <c r="AK58" i="2"/>
  <c r="O59" i="2"/>
  <c r="T59" i="2"/>
  <c r="W59" i="2"/>
  <c r="AK59" i="2"/>
  <c r="O60" i="2"/>
  <c r="T60" i="2"/>
  <c r="W60" i="2"/>
  <c r="AK60" i="2"/>
  <c r="O61" i="2"/>
  <c r="T61" i="2"/>
  <c r="W61" i="2"/>
  <c r="AK61" i="2"/>
  <c r="O62" i="2"/>
  <c r="T62" i="2"/>
  <c r="W62" i="2"/>
  <c r="AK62" i="2"/>
  <c r="O63" i="2"/>
  <c r="Q63" i="2"/>
  <c r="T63" i="2"/>
  <c r="W63" i="2"/>
  <c r="AK63" i="2"/>
  <c r="O64" i="2"/>
  <c r="Q64" i="2"/>
  <c r="AK64" i="2"/>
  <c r="T64" i="2"/>
  <c r="W64" i="2"/>
  <c r="O65" i="2"/>
  <c r="Q65" i="2"/>
  <c r="AK65" i="2"/>
  <c r="T65" i="2"/>
  <c r="W65" i="2"/>
  <c r="O66" i="2"/>
  <c r="T66" i="2"/>
  <c r="AK66" i="2"/>
  <c r="W66" i="2"/>
  <c r="O67" i="2"/>
  <c r="T67" i="2"/>
  <c r="W67" i="2"/>
  <c r="AK67" i="2"/>
  <c r="O68" i="2"/>
  <c r="T68" i="2"/>
  <c r="W68" i="2"/>
  <c r="AK68" i="2"/>
  <c r="O69" i="2"/>
  <c r="AK69" i="2"/>
  <c r="O70" i="2"/>
  <c r="AK70" i="2"/>
  <c r="O71" i="2"/>
  <c r="AK71" i="2"/>
  <c r="O72" i="2"/>
  <c r="AK72" i="2"/>
  <c r="O73" i="2"/>
  <c r="T73" i="2"/>
  <c r="W73" i="2"/>
  <c r="AF73" i="2"/>
  <c r="AK73" i="2"/>
  <c r="O74" i="2"/>
  <c r="T74" i="2"/>
  <c r="AK74" i="2"/>
  <c r="W74" i="2"/>
  <c r="AF74" i="2"/>
  <c r="O75" i="2"/>
  <c r="T75" i="2"/>
  <c r="AK75" i="2"/>
  <c r="W75" i="2"/>
  <c r="O76" i="2"/>
  <c r="T76" i="2"/>
  <c r="AK76" i="2"/>
  <c r="W76" i="2"/>
  <c r="O77" i="2"/>
  <c r="AK77" i="2"/>
  <c r="O78" i="2"/>
  <c r="T78" i="2"/>
  <c r="W78" i="2"/>
  <c r="AK78" i="2"/>
  <c r="O79" i="2"/>
  <c r="AK79" i="2"/>
  <c r="O80" i="2"/>
  <c r="T80" i="2"/>
  <c r="AK80" i="2"/>
  <c r="W80" i="2"/>
  <c r="O81" i="2"/>
  <c r="AK81" i="2"/>
  <c r="O82" i="2"/>
  <c r="T82" i="2"/>
  <c r="W82" i="2"/>
  <c r="AK82" i="2"/>
  <c r="O83" i="2"/>
  <c r="AK83" i="2"/>
  <c r="O84" i="2"/>
  <c r="T84" i="2"/>
  <c r="AK84" i="2"/>
  <c r="W84" i="2"/>
  <c r="O85" i="2"/>
  <c r="T85" i="2"/>
  <c r="AK85" i="2"/>
  <c r="W85" i="2"/>
  <c r="O86" i="2"/>
  <c r="T86" i="2"/>
  <c r="AK86" i="2"/>
  <c r="W86" i="2"/>
  <c r="O87" i="2"/>
  <c r="T87" i="2"/>
  <c r="AK87" i="2"/>
  <c r="W87" i="2"/>
  <c r="O88" i="2"/>
  <c r="T88" i="2"/>
  <c r="AK88" i="2"/>
  <c r="W88" i="2"/>
  <c r="O89" i="2"/>
  <c r="T89" i="2"/>
  <c r="AK89" i="2"/>
  <c r="W89" i="2"/>
  <c r="O90" i="2"/>
  <c r="W90" i="2"/>
  <c r="AK90" i="2"/>
  <c r="O91" i="2"/>
  <c r="T91" i="2"/>
  <c r="W91" i="2"/>
  <c r="AK91" i="2"/>
  <c r="O92" i="2"/>
  <c r="T92" i="2"/>
  <c r="W92" i="2"/>
  <c r="AK92" i="2"/>
  <c r="O93" i="2"/>
  <c r="T93" i="2"/>
  <c r="W93" i="2"/>
  <c r="AK93" i="2"/>
  <c r="O94" i="2"/>
  <c r="T94" i="2"/>
  <c r="W94" i="2"/>
  <c r="AK94" i="2"/>
  <c r="O95" i="2"/>
  <c r="T95" i="2"/>
  <c r="W95" i="2"/>
  <c r="AK95" i="2"/>
  <c r="O96" i="2"/>
  <c r="T96" i="2"/>
  <c r="W96" i="2"/>
  <c r="AK96" i="2"/>
  <c r="O97" i="2"/>
  <c r="T97" i="2"/>
  <c r="W97" i="2"/>
  <c r="AK97" i="2"/>
  <c r="O98" i="2"/>
  <c r="T98" i="2"/>
  <c r="W98" i="2"/>
  <c r="AK98" i="2"/>
  <c r="O99" i="2"/>
  <c r="T99" i="2"/>
  <c r="W99" i="2"/>
  <c r="AK99" i="2"/>
  <c r="O100" i="2"/>
  <c r="T100" i="2"/>
  <c r="W100" i="2"/>
  <c r="AK100" i="2"/>
  <c r="O101" i="2"/>
  <c r="T101" i="2"/>
  <c r="W101" i="2"/>
  <c r="AK101" i="2"/>
  <c r="O102" i="2"/>
  <c r="T102" i="2"/>
  <c r="W102" i="2"/>
  <c r="AK102" i="2"/>
  <c r="O103" i="2"/>
  <c r="T103" i="2"/>
  <c r="W103" i="2"/>
  <c r="AK103" i="2"/>
  <c r="O104" i="2"/>
  <c r="T104" i="2"/>
  <c r="W104" i="2"/>
  <c r="AK104" i="2"/>
  <c r="O105" i="2"/>
  <c r="T105" i="2"/>
  <c r="W105" i="2"/>
  <c r="AK105" i="2"/>
  <c r="O106" i="2"/>
  <c r="T106" i="2"/>
  <c r="W106" i="2"/>
  <c r="AK106" i="2"/>
  <c r="O107" i="2"/>
  <c r="T107" i="2"/>
  <c r="W107" i="2"/>
  <c r="AK107" i="2"/>
  <c r="O108" i="2"/>
  <c r="T108" i="2"/>
  <c r="W108" i="2"/>
  <c r="AK108" i="2"/>
  <c r="O109" i="2"/>
  <c r="T109" i="2"/>
  <c r="W109" i="2"/>
  <c r="AK109" i="2"/>
  <c r="O110" i="2"/>
  <c r="T110" i="2"/>
  <c r="W110" i="2"/>
  <c r="AK110" i="2"/>
  <c r="O111" i="2"/>
  <c r="T111" i="2"/>
  <c r="W111" i="2"/>
  <c r="AK111" i="2"/>
  <c r="O112" i="2"/>
  <c r="T112" i="2"/>
  <c r="W112" i="2"/>
  <c r="AK112" i="2"/>
  <c r="O113" i="2"/>
  <c r="T113" i="2"/>
  <c r="W113" i="2"/>
  <c r="AK113" i="2"/>
  <c r="O114" i="2"/>
  <c r="T114" i="2"/>
  <c r="W114" i="2"/>
  <c r="AK114" i="2"/>
  <c r="O115" i="2"/>
  <c r="T115" i="2"/>
  <c r="W115" i="2"/>
  <c r="AK115" i="2"/>
  <c r="O116" i="2"/>
  <c r="T116" i="2"/>
  <c r="W116" i="2"/>
  <c r="AK116" i="2"/>
  <c r="O117" i="2"/>
  <c r="T117" i="2"/>
  <c r="W117" i="2"/>
  <c r="AK117" i="2"/>
  <c r="O118" i="2"/>
  <c r="T118" i="2"/>
  <c r="W118" i="2"/>
  <c r="AK118" i="2"/>
  <c r="O119" i="2"/>
  <c r="T119" i="2"/>
  <c r="W119" i="2"/>
  <c r="AK119" i="2"/>
  <c r="O120" i="2"/>
  <c r="T120" i="2"/>
  <c r="W120" i="2"/>
  <c r="AK120" i="2"/>
  <c r="O121" i="2"/>
  <c r="T121" i="2"/>
  <c r="W121" i="2"/>
  <c r="AK121" i="2"/>
  <c r="O122" i="2"/>
  <c r="T122" i="2"/>
  <c r="W122" i="2"/>
  <c r="AK122" i="2"/>
  <c r="O123" i="2"/>
  <c r="T123" i="2"/>
  <c r="W123" i="2"/>
  <c r="AK123" i="2"/>
  <c r="O124" i="2"/>
  <c r="T124" i="2"/>
  <c r="W124" i="2"/>
  <c r="AK124" i="2"/>
  <c r="O125" i="2"/>
  <c r="T125" i="2"/>
  <c r="W125" i="2"/>
  <c r="AK125" i="2"/>
  <c r="O126" i="2"/>
  <c r="T126" i="2"/>
  <c r="W126" i="2"/>
  <c r="AK126" i="2"/>
  <c r="O127" i="2"/>
  <c r="AK127" i="2"/>
  <c r="O128" i="2"/>
  <c r="AK128" i="2"/>
  <c r="O129" i="2"/>
  <c r="AK129" i="2"/>
  <c r="O130" i="2"/>
  <c r="AK130" i="2"/>
  <c r="O131" i="2"/>
  <c r="AK131" i="2"/>
  <c r="O132" i="2"/>
  <c r="AK132" i="2"/>
  <c r="O133" i="2"/>
  <c r="AK133" i="2"/>
  <c r="O134" i="2"/>
  <c r="AK134" i="2"/>
  <c r="O135" i="2"/>
  <c r="AK135" i="2"/>
  <c r="O136" i="2"/>
  <c r="AK136" i="2"/>
  <c r="O137" i="2"/>
  <c r="AK137" i="2"/>
  <c r="O138" i="2"/>
  <c r="AK138" i="2"/>
  <c r="O139" i="2"/>
  <c r="AK139" i="2"/>
  <c r="O140" i="2"/>
  <c r="AK140" i="2"/>
  <c r="O141" i="2"/>
  <c r="AK141" i="2"/>
  <c r="O142" i="2"/>
  <c r="AK142" i="2"/>
  <c r="O143" i="2"/>
  <c r="AK143" i="2"/>
  <c r="O144" i="2"/>
  <c r="AK144" i="2"/>
  <c r="O145" i="2"/>
  <c r="AK145" i="2"/>
  <c r="O146" i="2"/>
  <c r="AK146" i="2"/>
  <c r="O147" i="2"/>
  <c r="AK147" i="2"/>
  <c r="O148" i="2"/>
  <c r="AK148" i="2"/>
  <c r="O149" i="2"/>
  <c r="AK149" i="2"/>
  <c r="O150" i="2"/>
  <c r="AK150" i="2"/>
  <c r="O151" i="2"/>
  <c r="AK151" i="2"/>
  <c r="O152" i="2"/>
  <c r="AK152" i="2"/>
  <c r="O153" i="2"/>
  <c r="AK153" i="2"/>
  <c r="O154" i="2"/>
  <c r="AK154" i="2"/>
  <c r="O155" i="2"/>
  <c r="AK155" i="2"/>
  <c r="O156" i="2"/>
  <c r="AK156" i="2"/>
  <c r="O157" i="2"/>
  <c r="AK157" i="2"/>
  <c r="AK158" i="2"/>
  <c r="AJ178" i="2"/>
  <c r="AJ179" i="2"/>
  <c r="AJ180" i="2"/>
  <c r="AJ181" i="2"/>
  <c r="AJ182" i="2"/>
  <c r="AJ183" i="2"/>
  <c r="AJ184" i="2"/>
  <c r="AJ185" i="2"/>
  <c r="AJ186" i="2"/>
  <c r="AJ187" i="2"/>
  <c r="AJ188" i="2"/>
  <c r="AJ189" i="2"/>
  <c r="U1" i="1"/>
  <c r="Z1" i="1"/>
  <c r="X3" i="1"/>
  <c r="AD15" i="1"/>
  <c r="Y3" i="1"/>
  <c r="Y4" i="1"/>
  <c r="Y14" i="1"/>
  <c r="Y15" i="1"/>
  <c r="AA15" i="1"/>
  <c r="AC15" i="1"/>
  <c r="AE15" i="1"/>
  <c r="D28" i="1"/>
  <c r="D29" i="1"/>
  <c r="D35" i="1"/>
  <c r="D36" i="1"/>
  <c r="D37" i="1"/>
  <c r="D38" i="1"/>
  <c r="F2" i="3"/>
  <c r="H2" i="3"/>
  <c r="I2" i="3"/>
  <c r="J2" i="3"/>
  <c r="O2" i="3"/>
  <c r="Q2" i="3"/>
  <c r="Y2" i="3"/>
  <c r="AD2" i="3"/>
  <c r="AE2" i="3"/>
  <c r="R2" i="3"/>
  <c r="S2" i="3"/>
  <c r="AA2" i="3"/>
  <c r="X2" i="3"/>
  <c r="Z2" i="3"/>
  <c r="AC2" i="3"/>
  <c r="F3" i="3"/>
  <c r="F4" i="3"/>
  <c r="F5" i="3"/>
  <c r="D6" i="3"/>
  <c r="D7" i="3"/>
  <c r="F8" i="3"/>
  <c r="H8" i="3"/>
  <c r="I8" i="3"/>
  <c r="J8" i="3"/>
  <c r="AA8" i="3"/>
  <c r="O8" i="3"/>
  <c r="Q8" i="3"/>
  <c r="R8" i="3"/>
  <c r="Z8" i="3"/>
  <c r="S8" i="3"/>
  <c r="X8" i="3"/>
  <c r="Y8" i="3"/>
  <c r="AC8" i="3"/>
  <c r="F9" i="3"/>
  <c r="F12" i="3"/>
  <c r="F13" i="3"/>
  <c r="F10" i="3"/>
  <c r="F11" i="3"/>
  <c r="D12" i="3"/>
  <c r="D13" i="3"/>
  <c r="F14" i="3"/>
  <c r="H14" i="3"/>
  <c r="I14" i="3"/>
  <c r="J14" i="3"/>
  <c r="AA14" i="3"/>
  <c r="AD14" i="3"/>
  <c r="AE14" i="3"/>
  <c r="O14" i="3"/>
  <c r="Q14" i="3"/>
  <c r="R14" i="3"/>
  <c r="Z14" i="3"/>
  <c r="S14" i="3"/>
  <c r="X14" i="3"/>
  <c r="AC14" i="3"/>
  <c r="Y14" i="3"/>
  <c r="F15" i="3"/>
  <c r="F16" i="3"/>
  <c r="F17" i="3"/>
  <c r="D18" i="3"/>
  <c r="D19" i="3"/>
  <c r="F18" i="3"/>
  <c r="F19" i="3"/>
  <c r="F20" i="3"/>
  <c r="F24" i="3"/>
  <c r="F25" i="3"/>
  <c r="H20" i="3"/>
  <c r="I20" i="3"/>
  <c r="J20" i="3"/>
  <c r="O20" i="3"/>
  <c r="Q20" i="3"/>
  <c r="Y20" i="3"/>
  <c r="R20" i="3"/>
  <c r="S20" i="3"/>
  <c r="X20" i="3"/>
  <c r="AC20" i="3"/>
  <c r="Z20" i="3"/>
  <c r="F21" i="3"/>
  <c r="F22" i="3"/>
  <c r="F23" i="3"/>
  <c r="D24" i="3"/>
  <c r="D25" i="3"/>
  <c r="F26" i="3"/>
  <c r="H26" i="3"/>
  <c r="I26" i="3"/>
  <c r="J26" i="3"/>
  <c r="O26" i="3"/>
  <c r="Q26" i="3"/>
  <c r="Y26" i="3"/>
  <c r="R26" i="3"/>
  <c r="S26" i="3"/>
  <c r="AA26" i="3"/>
  <c r="X26" i="3"/>
  <c r="Z26" i="3"/>
  <c r="AC26" i="3"/>
  <c r="AD26" i="3"/>
  <c r="AE26" i="3"/>
  <c r="F27" i="3"/>
  <c r="F30" i="3"/>
  <c r="F31" i="3"/>
  <c r="F28" i="3"/>
  <c r="F29" i="3"/>
  <c r="D30" i="3"/>
  <c r="D31" i="3"/>
  <c r="F32" i="3"/>
  <c r="H32" i="3"/>
  <c r="I32" i="3"/>
  <c r="J32" i="3"/>
  <c r="AA32" i="3"/>
  <c r="O32" i="3"/>
  <c r="Q32" i="3"/>
  <c r="R32" i="3"/>
  <c r="Z32" i="3"/>
  <c r="S32" i="3"/>
  <c r="X32" i="3"/>
  <c r="Y32" i="3"/>
  <c r="AC32" i="3"/>
  <c r="F33" i="3"/>
  <c r="F36" i="3"/>
  <c r="F37" i="3"/>
  <c r="F34" i="3"/>
  <c r="F35" i="3"/>
  <c r="D36" i="3"/>
  <c r="D37" i="3"/>
  <c r="F38" i="3"/>
  <c r="H38" i="3"/>
  <c r="I38" i="3"/>
  <c r="J38" i="3"/>
  <c r="O38" i="3"/>
  <c r="Q38" i="3"/>
  <c r="R38" i="3"/>
  <c r="Z38" i="3"/>
  <c r="S38" i="3"/>
  <c r="X38" i="3"/>
  <c r="AC38" i="3"/>
  <c r="Y38" i="3"/>
  <c r="AA38" i="3"/>
  <c r="F39" i="3"/>
  <c r="F40" i="3"/>
  <c r="F41" i="3"/>
  <c r="D42" i="3"/>
  <c r="D43" i="3"/>
  <c r="F42" i="3"/>
  <c r="F43" i="3"/>
  <c r="F44" i="3"/>
  <c r="H44" i="3"/>
  <c r="I44" i="3"/>
  <c r="J44" i="3"/>
  <c r="AA44" i="3"/>
  <c r="O44" i="3"/>
  <c r="Q44" i="3"/>
  <c r="Y44" i="3"/>
  <c r="AD44" i="3"/>
  <c r="AE44" i="3"/>
  <c r="R44" i="3"/>
  <c r="S44" i="3"/>
  <c r="X44" i="3"/>
  <c r="AC44" i="3"/>
  <c r="Z44" i="3"/>
  <c r="F45" i="3"/>
  <c r="F48" i="3"/>
  <c r="F49" i="3"/>
  <c r="F46" i="3"/>
  <c r="F47" i="3"/>
  <c r="D48" i="3"/>
  <c r="D49" i="3"/>
  <c r="F50" i="3"/>
  <c r="H50" i="3"/>
  <c r="I50" i="3"/>
  <c r="J50" i="3"/>
  <c r="O50" i="3"/>
  <c r="Q50" i="3"/>
  <c r="R50" i="3"/>
  <c r="S50" i="3"/>
  <c r="AA50" i="3"/>
  <c r="X50" i="3"/>
  <c r="Y50" i="3"/>
  <c r="Z50" i="3"/>
  <c r="AD50" i="3"/>
  <c r="AE50" i="3"/>
  <c r="AC50" i="3"/>
  <c r="F51" i="3"/>
  <c r="F54" i="3"/>
  <c r="F52" i="3"/>
  <c r="F53" i="3"/>
  <c r="D54" i="3"/>
  <c r="D55" i="3"/>
  <c r="F55" i="3"/>
  <c r="F56" i="3"/>
  <c r="H56" i="3"/>
  <c r="I56" i="3"/>
  <c r="J56" i="3"/>
  <c r="O56" i="3"/>
  <c r="AC56" i="3"/>
  <c r="Q56" i="3"/>
  <c r="R56" i="3"/>
  <c r="Z56" i="3"/>
  <c r="S56" i="3"/>
  <c r="X56" i="3"/>
  <c r="Y56" i="3"/>
  <c r="AA56" i="3"/>
  <c r="F57" i="3"/>
  <c r="F58" i="3"/>
  <c r="F59" i="3"/>
  <c r="D60" i="3"/>
  <c r="F60" i="3"/>
  <c r="F61" i="3"/>
  <c r="D61" i="3"/>
  <c r="F62" i="3"/>
  <c r="F69" i="3"/>
  <c r="F70" i="3"/>
  <c r="G62" i="3"/>
  <c r="I62" i="3"/>
  <c r="J62" i="3"/>
  <c r="AA62" i="3"/>
  <c r="K62" i="3"/>
  <c r="L62" i="3"/>
  <c r="M62" i="3"/>
  <c r="O62" i="3"/>
  <c r="AC62" i="3"/>
  <c r="P62" i="3"/>
  <c r="R62" i="3"/>
  <c r="Z62" i="3"/>
  <c r="S62" i="3"/>
  <c r="T62" i="3"/>
  <c r="U62" i="3"/>
  <c r="V62" i="3"/>
  <c r="X62" i="3"/>
  <c r="AB62" i="3"/>
  <c r="AD62" i="3"/>
  <c r="AE62" i="3"/>
  <c r="F63" i="3"/>
  <c r="F64" i="3"/>
  <c r="F65" i="3"/>
  <c r="F66" i="3"/>
  <c r="F67" i="3"/>
  <c r="F68" i="3"/>
  <c r="D69" i="3"/>
  <c r="D70" i="3"/>
  <c r="F71" i="3"/>
  <c r="G71" i="3"/>
  <c r="J71" i="3"/>
  <c r="K71" i="3"/>
  <c r="L71" i="3"/>
  <c r="O71" i="3"/>
  <c r="P71" i="3"/>
  <c r="AC71" i="3"/>
  <c r="S71" i="3"/>
  <c r="T71" i="3"/>
  <c r="U71" i="3"/>
  <c r="X71" i="3"/>
  <c r="AB71" i="3"/>
  <c r="F72" i="3"/>
  <c r="F73" i="3"/>
  <c r="F74" i="3"/>
  <c r="F75" i="3"/>
  <c r="D76" i="3"/>
  <c r="D77" i="3"/>
  <c r="F76" i="3"/>
  <c r="F77" i="3"/>
  <c r="F78" i="3"/>
  <c r="G78" i="3"/>
  <c r="J78" i="3"/>
  <c r="K78" i="3"/>
  <c r="L78" i="3"/>
  <c r="O78" i="3"/>
  <c r="P78" i="3"/>
  <c r="S78" i="3"/>
  <c r="T78" i="3"/>
  <c r="U78" i="3"/>
  <c r="X78" i="3"/>
  <c r="AB78" i="3"/>
  <c r="AC78" i="3"/>
  <c r="F79" i="3"/>
  <c r="F80" i="3"/>
  <c r="F81" i="3"/>
  <c r="F82" i="3"/>
  <c r="D83" i="3"/>
  <c r="F83" i="3"/>
  <c r="F84" i="3"/>
  <c r="D84" i="3"/>
  <c r="F85" i="3"/>
  <c r="G85" i="3"/>
  <c r="J85" i="3"/>
  <c r="K85" i="3"/>
  <c r="L85" i="3"/>
  <c r="O85" i="3"/>
  <c r="P85" i="3"/>
  <c r="S85" i="3"/>
  <c r="T85" i="3"/>
  <c r="U85" i="3"/>
  <c r="X85" i="3"/>
  <c r="AB85" i="3"/>
  <c r="F86" i="3"/>
  <c r="F87" i="3"/>
  <c r="F88" i="3"/>
  <c r="F89" i="3"/>
  <c r="D90" i="3"/>
  <c r="F90" i="3"/>
  <c r="D91" i="3"/>
  <c r="F91" i="3"/>
  <c r="F92" i="3"/>
  <c r="G92" i="3"/>
  <c r="J92" i="3"/>
  <c r="K92" i="3"/>
  <c r="L92" i="3"/>
  <c r="O92" i="3"/>
  <c r="P92" i="3"/>
  <c r="AC92" i="3"/>
  <c r="S92" i="3"/>
  <c r="T92" i="3"/>
  <c r="U92" i="3"/>
  <c r="X92" i="3"/>
  <c r="AB92" i="3"/>
  <c r="F93" i="3"/>
  <c r="F94" i="3"/>
  <c r="F95" i="3"/>
  <c r="F97" i="3"/>
  <c r="F98" i="3"/>
  <c r="F96" i="3"/>
  <c r="D97" i="3"/>
  <c r="D98" i="3"/>
  <c r="F99" i="3"/>
  <c r="G99" i="3"/>
  <c r="J99" i="3"/>
  <c r="AA99" i="3"/>
  <c r="K99" i="3"/>
  <c r="L99" i="3"/>
  <c r="O99" i="3"/>
  <c r="P99" i="3"/>
  <c r="S99" i="3"/>
  <c r="T99" i="3"/>
  <c r="U99" i="3"/>
  <c r="X99" i="3"/>
  <c r="AB99" i="3"/>
  <c r="F100" i="3"/>
  <c r="F101" i="3"/>
  <c r="F102" i="3"/>
  <c r="F104" i="3"/>
  <c r="F105" i="3"/>
  <c r="F103" i="3"/>
  <c r="D104" i="3"/>
  <c r="D105" i="3"/>
  <c r="F106" i="3"/>
  <c r="G106" i="3"/>
  <c r="J106" i="3"/>
  <c r="AA106" i="3"/>
  <c r="K106" i="3"/>
  <c r="L106" i="3"/>
  <c r="O106" i="3"/>
  <c r="P106" i="3"/>
  <c r="S106" i="3"/>
  <c r="T106" i="3"/>
  <c r="U106" i="3"/>
  <c r="X106" i="3"/>
  <c r="AB106" i="3"/>
  <c r="F107" i="3"/>
  <c r="F108" i="3"/>
  <c r="F109" i="3"/>
  <c r="F111" i="3"/>
  <c r="F112" i="3"/>
  <c r="F110" i="3"/>
  <c r="D111" i="3"/>
  <c r="D112" i="3"/>
  <c r="F113" i="3"/>
  <c r="G113" i="3"/>
  <c r="I113" i="3"/>
  <c r="Z113" i="3"/>
  <c r="J113" i="3"/>
  <c r="K113" i="3"/>
  <c r="AB113" i="3"/>
  <c r="L113" i="3"/>
  <c r="M113" i="3"/>
  <c r="O113" i="3"/>
  <c r="P113" i="3"/>
  <c r="R113" i="3"/>
  <c r="S113" i="3"/>
  <c r="AA113" i="3"/>
  <c r="T113" i="3"/>
  <c r="U113" i="3"/>
  <c r="V113" i="3"/>
  <c r="X113" i="3"/>
  <c r="AC113" i="3"/>
  <c r="F114" i="3"/>
  <c r="F120" i="3"/>
  <c r="F121" i="3"/>
  <c r="F115" i="3"/>
  <c r="F116" i="3"/>
  <c r="F117" i="3"/>
  <c r="F118" i="3"/>
  <c r="F119" i="3"/>
  <c r="D120" i="3"/>
  <c r="D121" i="3"/>
  <c r="F122" i="3"/>
  <c r="G122" i="3"/>
  <c r="I122" i="3"/>
  <c r="J122" i="3"/>
  <c r="K122" i="3"/>
  <c r="L122" i="3"/>
  <c r="M122" i="3"/>
  <c r="O122" i="3"/>
  <c r="P122" i="3"/>
  <c r="R122" i="3"/>
  <c r="S122" i="3"/>
  <c r="T122" i="3"/>
  <c r="AB122" i="3"/>
  <c r="U122" i="3"/>
  <c r="V122" i="3"/>
  <c r="X122" i="3"/>
  <c r="Z122" i="3"/>
  <c r="AA122" i="3"/>
  <c r="F123" i="3"/>
  <c r="F124" i="3"/>
  <c r="F125" i="3"/>
  <c r="F126" i="3"/>
  <c r="F127" i="3"/>
  <c r="F128" i="3"/>
  <c r="D129" i="3"/>
  <c r="D130" i="3"/>
  <c r="F131" i="3"/>
  <c r="G131" i="3"/>
  <c r="AC131" i="3"/>
  <c r="J131" i="3"/>
  <c r="K131" i="3"/>
  <c r="L131" i="3"/>
  <c r="O131" i="3"/>
  <c r="P131" i="3"/>
  <c r="S131" i="3"/>
  <c r="T131" i="3"/>
  <c r="U131" i="3"/>
  <c r="X131" i="3"/>
  <c r="AB131" i="3"/>
  <c r="F132" i="3"/>
  <c r="F133" i="3"/>
  <c r="F134" i="3"/>
  <c r="F135" i="3"/>
  <c r="D136" i="3"/>
  <c r="D137" i="3"/>
  <c r="F138" i="3"/>
  <c r="F143" i="3"/>
  <c r="F144" i="3"/>
  <c r="G138" i="3"/>
  <c r="J138" i="3"/>
  <c r="K138" i="3"/>
  <c r="L138" i="3"/>
  <c r="O138" i="3"/>
  <c r="P138" i="3"/>
  <c r="S138" i="3"/>
  <c r="T138" i="3"/>
  <c r="AB138" i="3"/>
  <c r="U138" i="3"/>
  <c r="X138" i="3"/>
  <c r="F139" i="3"/>
  <c r="F140" i="3"/>
  <c r="F141" i="3"/>
  <c r="F142" i="3"/>
  <c r="D143" i="3"/>
  <c r="D144" i="3"/>
  <c r="A145" i="3"/>
  <c r="A152" i="3"/>
  <c r="A159" i="3"/>
  <c r="A168" i="3"/>
  <c r="A175" i="3"/>
  <c r="A182" i="3"/>
  <c r="A189" i="3"/>
  <c r="A198" i="3"/>
  <c r="A204" i="3"/>
  <c r="A210" i="3"/>
  <c r="A216" i="3"/>
  <c r="A222" i="3"/>
  <c r="A228" i="3"/>
  <c r="A234" i="3"/>
  <c r="A240" i="3"/>
  <c r="A246" i="3"/>
  <c r="A252" i="3"/>
  <c r="A258" i="3"/>
  <c r="A264" i="3"/>
  <c r="A270" i="3"/>
  <c r="A276" i="3"/>
  <c r="A283" i="3"/>
  <c r="A290" i="3"/>
  <c r="A297" i="3"/>
  <c r="A304" i="3"/>
  <c r="A313" i="3"/>
  <c r="A322" i="3"/>
  <c r="A331" i="3"/>
  <c r="A338" i="3"/>
  <c r="A347" i="3"/>
  <c r="A356" i="3"/>
  <c r="A363" i="3"/>
  <c r="A370" i="3"/>
  <c r="A377" i="3"/>
  <c r="A384" i="3"/>
  <c r="A391" i="3"/>
  <c r="A398" i="3"/>
  <c r="A407" i="3"/>
  <c r="A416" i="3"/>
  <c r="A422" i="3"/>
  <c r="A428" i="3"/>
  <c r="A434" i="3"/>
  <c r="A440" i="3"/>
  <c r="A446" i="3"/>
  <c r="A452" i="3"/>
  <c r="A458" i="3"/>
  <c r="A464" i="3"/>
  <c r="A470" i="3"/>
  <c r="A477" i="3"/>
  <c r="A484" i="3"/>
  <c r="A491" i="3"/>
  <c r="A500" i="3"/>
  <c r="A507" i="3"/>
  <c r="F145" i="3"/>
  <c r="G145" i="3"/>
  <c r="J145" i="3"/>
  <c r="K145" i="3"/>
  <c r="L145" i="3"/>
  <c r="O145" i="3"/>
  <c r="P145" i="3"/>
  <c r="AC145" i="3"/>
  <c r="S145" i="3"/>
  <c r="AA145" i="3"/>
  <c r="T145" i="3"/>
  <c r="U145" i="3"/>
  <c r="X145" i="3"/>
  <c r="F146" i="3"/>
  <c r="F147" i="3"/>
  <c r="F148" i="3"/>
  <c r="F149" i="3"/>
  <c r="D150" i="3"/>
  <c r="D151" i="3"/>
  <c r="F152" i="3"/>
  <c r="G152" i="3"/>
  <c r="J152" i="3"/>
  <c r="AA152" i="3"/>
  <c r="K152" i="3"/>
  <c r="L152" i="3"/>
  <c r="O152" i="3"/>
  <c r="P152" i="3"/>
  <c r="S152" i="3"/>
  <c r="T152" i="3"/>
  <c r="U152" i="3"/>
  <c r="X152" i="3"/>
  <c r="AB152" i="3"/>
  <c r="F153" i="3"/>
  <c r="F154" i="3"/>
  <c r="F155" i="3"/>
  <c r="F157" i="3"/>
  <c r="F158" i="3"/>
  <c r="F156" i="3"/>
  <c r="D157" i="3"/>
  <c r="D158" i="3"/>
  <c r="F159" i="3"/>
  <c r="G159" i="3"/>
  <c r="H159" i="3"/>
  <c r="J159" i="3"/>
  <c r="AA159" i="3"/>
  <c r="K159" i="3"/>
  <c r="L159" i="3"/>
  <c r="N159" i="3"/>
  <c r="O159" i="3"/>
  <c r="P159" i="3"/>
  <c r="Q159" i="3"/>
  <c r="Y159" i="3"/>
  <c r="S159" i="3"/>
  <c r="T159" i="3"/>
  <c r="AB159" i="3"/>
  <c r="U159" i="3"/>
  <c r="W159" i="3"/>
  <c r="X159" i="3"/>
  <c r="F160" i="3"/>
  <c r="F166" i="3"/>
  <c r="F167" i="3"/>
  <c r="F161" i="3"/>
  <c r="F162" i="3"/>
  <c r="F163" i="3"/>
  <c r="F164" i="3"/>
  <c r="F165" i="3"/>
  <c r="D166" i="3"/>
  <c r="D167" i="3"/>
  <c r="F168" i="3"/>
  <c r="G168" i="3"/>
  <c r="J168" i="3"/>
  <c r="K168" i="3"/>
  <c r="L168" i="3"/>
  <c r="AA168" i="3"/>
  <c r="O168" i="3"/>
  <c r="P168" i="3"/>
  <c r="AC168" i="3"/>
  <c r="S168" i="3"/>
  <c r="T168" i="3"/>
  <c r="U168" i="3"/>
  <c r="X168" i="3"/>
  <c r="AB168" i="3"/>
  <c r="F169" i="3"/>
  <c r="F170" i="3"/>
  <c r="F171" i="3"/>
  <c r="F172" i="3"/>
  <c r="D173" i="3"/>
  <c r="F173" i="3"/>
  <c r="F174" i="3"/>
  <c r="D174" i="3"/>
  <c r="F175" i="3"/>
  <c r="G175" i="3"/>
  <c r="J175" i="3"/>
  <c r="K175" i="3"/>
  <c r="AB175" i="3"/>
  <c r="L175" i="3"/>
  <c r="O175" i="3"/>
  <c r="P175" i="3"/>
  <c r="S175" i="3"/>
  <c r="T175" i="3"/>
  <c r="U175" i="3"/>
  <c r="X175" i="3"/>
  <c r="AA175" i="3"/>
  <c r="AC175" i="3"/>
  <c r="F176" i="3"/>
  <c r="F177" i="3"/>
  <c r="F178" i="3"/>
  <c r="F179" i="3"/>
  <c r="D180" i="3"/>
  <c r="D181" i="3"/>
  <c r="F182" i="3"/>
  <c r="G182" i="3"/>
  <c r="AC182" i="3"/>
  <c r="J182" i="3"/>
  <c r="K182" i="3"/>
  <c r="L182" i="3"/>
  <c r="AA182" i="3"/>
  <c r="AD182" i="3"/>
  <c r="AE182" i="3"/>
  <c r="O182" i="3"/>
  <c r="P182" i="3"/>
  <c r="S182" i="3"/>
  <c r="T182" i="3"/>
  <c r="U182" i="3"/>
  <c r="X182" i="3"/>
  <c r="AB182" i="3"/>
  <c r="F183" i="3"/>
  <c r="F184" i="3"/>
  <c r="F185" i="3"/>
  <c r="F186" i="3"/>
  <c r="D187" i="3"/>
  <c r="D188" i="3"/>
  <c r="F189" i="3"/>
  <c r="G189" i="3"/>
  <c r="H189" i="3"/>
  <c r="J189" i="3"/>
  <c r="K189" i="3"/>
  <c r="L189" i="3"/>
  <c r="N189" i="3"/>
  <c r="O189" i="3"/>
  <c r="P189" i="3"/>
  <c r="Q189" i="3"/>
  <c r="S189" i="3"/>
  <c r="T189" i="3"/>
  <c r="U189" i="3"/>
  <c r="W189" i="3"/>
  <c r="X189" i="3"/>
  <c r="AC189" i="3"/>
  <c r="AA189" i="3"/>
  <c r="AB189" i="3"/>
  <c r="F190" i="3"/>
  <c r="F191" i="3"/>
  <c r="F192" i="3"/>
  <c r="F193" i="3"/>
  <c r="F194" i="3"/>
  <c r="F195" i="3"/>
  <c r="D196" i="3"/>
  <c r="D197" i="3"/>
  <c r="F198" i="3"/>
  <c r="H198" i="3"/>
  <c r="Y198" i="3"/>
  <c r="AD198" i="3"/>
  <c r="AE198" i="3"/>
  <c r="I198" i="3"/>
  <c r="J198" i="3"/>
  <c r="O198" i="3"/>
  <c r="Q198" i="3"/>
  <c r="R198" i="3"/>
  <c r="S198" i="3"/>
  <c r="X198" i="3"/>
  <c r="AC198" i="3"/>
  <c r="Z198" i="3"/>
  <c r="AA198" i="3"/>
  <c r="F199" i="3"/>
  <c r="F200" i="3"/>
  <c r="F201" i="3"/>
  <c r="D202" i="3"/>
  <c r="D203" i="3"/>
  <c r="F202" i="3"/>
  <c r="F203" i="3"/>
  <c r="F204" i="3"/>
  <c r="H204" i="3"/>
  <c r="I204" i="3"/>
  <c r="J204" i="3"/>
  <c r="O204" i="3"/>
  <c r="Q204" i="3"/>
  <c r="R204" i="3"/>
  <c r="S204" i="3"/>
  <c r="AA204" i="3"/>
  <c r="X204" i="3"/>
  <c r="Y204" i="3"/>
  <c r="Z204" i="3"/>
  <c r="AC204" i="3"/>
  <c r="F205" i="3"/>
  <c r="F206" i="3"/>
  <c r="F207" i="3"/>
  <c r="D208" i="3"/>
  <c r="D209" i="3"/>
  <c r="F208" i="3"/>
  <c r="F209" i="3"/>
  <c r="F210" i="3"/>
  <c r="H210" i="3"/>
  <c r="I210" i="3"/>
  <c r="J210" i="3"/>
  <c r="AA210" i="3"/>
  <c r="O210" i="3"/>
  <c r="AC210" i="3"/>
  <c r="Q210" i="3"/>
  <c r="Y210" i="3"/>
  <c r="R210" i="3"/>
  <c r="S210" i="3"/>
  <c r="X210" i="3"/>
  <c r="Z210" i="3"/>
  <c r="AD210" i="3"/>
  <c r="AE210" i="3"/>
  <c r="F211" i="3"/>
  <c r="F212" i="3"/>
  <c r="F214" i="3"/>
  <c r="F215" i="3"/>
  <c r="F213" i="3"/>
  <c r="D214" i="3"/>
  <c r="D215" i="3"/>
  <c r="F216" i="3"/>
  <c r="H216" i="3"/>
  <c r="Y216" i="3"/>
  <c r="AD216" i="3"/>
  <c r="AE216" i="3"/>
  <c r="I216" i="3"/>
  <c r="J216" i="3"/>
  <c r="O216" i="3"/>
  <c r="Q216" i="3"/>
  <c r="R216" i="3"/>
  <c r="Z216" i="3"/>
  <c r="S216" i="3"/>
  <c r="X216" i="3"/>
  <c r="AA216" i="3"/>
  <c r="AC216" i="3"/>
  <c r="F217" i="3"/>
  <c r="F218" i="3"/>
  <c r="F219" i="3"/>
  <c r="D220" i="3"/>
  <c r="F220" i="3"/>
  <c r="F221" i="3"/>
  <c r="D221" i="3"/>
  <c r="F222" i="3"/>
  <c r="H222" i="3"/>
  <c r="I222" i="3"/>
  <c r="Z222" i="3"/>
  <c r="J222" i="3"/>
  <c r="O222" i="3"/>
  <c r="AC222" i="3"/>
  <c r="Q222" i="3"/>
  <c r="Y222" i="3"/>
  <c r="AD222" i="3"/>
  <c r="AE222" i="3"/>
  <c r="R222" i="3"/>
  <c r="S222" i="3"/>
  <c r="AA222" i="3"/>
  <c r="X222" i="3"/>
  <c r="F223" i="3"/>
  <c r="F224" i="3"/>
  <c r="F225" i="3"/>
  <c r="D226" i="3"/>
  <c r="D227" i="3"/>
  <c r="F228" i="3"/>
  <c r="F232" i="3"/>
  <c r="F233" i="3"/>
  <c r="H228" i="3"/>
  <c r="I228" i="3"/>
  <c r="J228" i="3"/>
  <c r="O228" i="3"/>
  <c r="Q228" i="3"/>
  <c r="Y228" i="3"/>
  <c r="AD228" i="3"/>
  <c r="AE228" i="3"/>
  <c r="R228" i="3"/>
  <c r="Z228" i="3"/>
  <c r="S228" i="3"/>
  <c r="X228" i="3"/>
  <c r="AC228" i="3"/>
  <c r="AA228" i="3"/>
  <c r="F229" i="3"/>
  <c r="F230" i="3"/>
  <c r="F231" i="3"/>
  <c r="D232" i="3"/>
  <c r="D233" i="3"/>
  <c r="F234" i="3"/>
  <c r="H234" i="3"/>
  <c r="I234" i="3"/>
  <c r="J234" i="3"/>
  <c r="O234" i="3"/>
  <c r="AC234" i="3"/>
  <c r="Q234" i="3"/>
  <c r="R234" i="3"/>
  <c r="Z234" i="3"/>
  <c r="S234" i="3"/>
  <c r="AA234" i="3"/>
  <c r="X234" i="3"/>
  <c r="Y234" i="3"/>
  <c r="F235" i="3"/>
  <c r="F236" i="3"/>
  <c r="F237" i="3"/>
  <c r="D238" i="3"/>
  <c r="D239" i="3"/>
  <c r="F240" i="3"/>
  <c r="F244" i="3"/>
  <c r="H240" i="3"/>
  <c r="I240" i="3"/>
  <c r="J240" i="3"/>
  <c r="O240" i="3"/>
  <c r="Q240" i="3"/>
  <c r="R240" i="3"/>
  <c r="S240" i="3"/>
  <c r="AA240" i="3"/>
  <c r="X240" i="3"/>
  <c r="AC240" i="3"/>
  <c r="Y240" i="3"/>
  <c r="Z240" i="3"/>
  <c r="AD240" i="3"/>
  <c r="AE240" i="3"/>
  <c r="F241" i="3"/>
  <c r="F242" i="3"/>
  <c r="F243" i="3"/>
  <c r="D244" i="3"/>
  <c r="D245" i="3"/>
  <c r="F245" i="3"/>
  <c r="F246" i="3"/>
  <c r="H246" i="3"/>
  <c r="I246" i="3"/>
  <c r="Z246" i="3"/>
  <c r="J246" i="3"/>
  <c r="O246" i="3"/>
  <c r="Q246" i="3"/>
  <c r="R246" i="3"/>
  <c r="S246" i="3"/>
  <c r="X246" i="3"/>
  <c r="AC246" i="3"/>
  <c r="Y246" i="3"/>
  <c r="AA246" i="3"/>
  <c r="F247" i="3"/>
  <c r="F248" i="3"/>
  <c r="F249" i="3"/>
  <c r="F250" i="3"/>
  <c r="F251" i="3"/>
  <c r="D250" i="3"/>
  <c r="D251" i="3"/>
  <c r="F252" i="3"/>
  <c r="H252" i="3"/>
  <c r="I252" i="3"/>
  <c r="J252" i="3"/>
  <c r="O252" i="3"/>
  <c r="AC252" i="3"/>
  <c r="Q252" i="3"/>
  <c r="R252" i="3"/>
  <c r="S252" i="3"/>
  <c r="AA252" i="3"/>
  <c r="X252" i="3"/>
  <c r="Y252" i="3"/>
  <c r="Z252" i="3"/>
  <c r="F253" i="3"/>
  <c r="F256" i="3"/>
  <c r="F257" i="3"/>
  <c r="F254" i="3"/>
  <c r="F255" i="3"/>
  <c r="D256" i="3"/>
  <c r="D257" i="3"/>
  <c r="F258" i="3"/>
  <c r="H258" i="3"/>
  <c r="I258" i="3"/>
  <c r="Z258" i="3"/>
  <c r="J258" i="3"/>
  <c r="AA258" i="3"/>
  <c r="O258" i="3"/>
  <c r="Q258" i="3"/>
  <c r="Y258" i="3"/>
  <c r="R258" i="3"/>
  <c r="S258" i="3"/>
  <c r="X258" i="3"/>
  <c r="AC258" i="3"/>
  <c r="F259" i="3"/>
  <c r="F260" i="3"/>
  <c r="F261" i="3"/>
  <c r="D262" i="3"/>
  <c r="F262" i="3"/>
  <c r="D263" i="3"/>
  <c r="F263" i="3"/>
  <c r="F264" i="3"/>
  <c r="H264" i="3"/>
  <c r="I264" i="3"/>
  <c r="J264" i="3"/>
  <c r="O264" i="3"/>
  <c r="AC264" i="3"/>
  <c r="Q264" i="3"/>
  <c r="Y264" i="3"/>
  <c r="R264" i="3"/>
  <c r="Z264" i="3"/>
  <c r="S264" i="3"/>
  <c r="X264" i="3"/>
  <c r="AA264" i="3"/>
  <c r="F265" i="3"/>
  <c r="F266" i="3"/>
  <c r="F267" i="3"/>
  <c r="F268" i="3"/>
  <c r="F269" i="3"/>
  <c r="D268" i="3"/>
  <c r="D269" i="3"/>
  <c r="F270" i="3"/>
  <c r="F274" i="3"/>
  <c r="H270" i="3"/>
  <c r="I270" i="3"/>
  <c r="Z270" i="3"/>
  <c r="J270" i="3"/>
  <c r="O270" i="3"/>
  <c r="Q270" i="3"/>
  <c r="Y270" i="3"/>
  <c r="R270" i="3"/>
  <c r="S270" i="3"/>
  <c r="AA270" i="3"/>
  <c r="X270" i="3"/>
  <c r="AC270" i="3"/>
  <c r="F271" i="3"/>
  <c r="F272" i="3"/>
  <c r="F273" i="3"/>
  <c r="D274" i="3"/>
  <c r="D275" i="3"/>
  <c r="F275" i="3"/>
  <c r="F276" i="3"/>
  <c r="G276" i="3"/>
  <c r="J276" i="3"/>
  <c r="K276" i="3"/>
  <c r="AB276" i="3"/>
  <c r="L276" i="3"/>
  <c r="O276" i="3"/>
  <c r="AC276" i="3"/>
  <c r="AD276" i="3"/>
  <c r="AE276" i="3"/>
  <c r="P276" i="3"/>
  <c r="S276" i="3"/>
  <c r="T276" i="3"/>
  <c r="U276" i="3"/>
  <c r="X276" i="3"/>
  <c r="AA276" i="3"/>
  <c r="F277" i="3"/>
  <c r="F278" i="3"/>
  <c r="F279" i="3"/>
  <c r="F280" i="3"/>
  <c r="D281" i="3"/>
  <c r="F281" i="3"/>
  <c r="D282" i="3"/>
  <c r="F282" i="3"/>
  <c r="F283" i="3"/>
  <c r="G283" i="3"/>
  <c r="J283" i="3"/>
  <c r="K283" i="3"/>
  <c r="L283" i="3"/>
  <c r="O283" i="3"/>
  <c r="AC283" i="3"/>
  <c r="P283" i="3"/>
  <c r="S283" i="3"/>
  <c r="T283" i="3"/>
  <c r="U283" i="3"/>
  <c r="X283" i="3"/>
  <c r="AB283" i="3"/>
  <c r="F284" i="3"/>
  <c r="F285" i="3"/>
  <c r="F286" i="3"/>
  <c r="F287" i="3"/>
  <c r="D288" i="3"/>
  <c r="D289" i="3"/>
  <c r="F288" i="3"/>
  <c r="F289" i="3"/>
  <c r="F290" i="3"/>
  <c r="G290" i="3"/>
  <c r="J290" i="3"/>
  <c r="K290" i="3"/>
  <c r="L290" i="3"/>
  <c r="AA290" i="3"/>
  <c r="AD290" i="3"/>
  <c r="AE290" i="3"/>
  <c r="O290" i="3"/>
  <c r="P290" i="3"/>
  <c r="S290" i="3"/>
  <c r="T290" i="3"/>
  <c r="U290" i="3"/>
  <c r="X290" i="3"/>
  <c r="AB290" i="3"/>
  <c r="AC290" i="3"/>
  <c r="F291" i="3"/>
  <c r="F292" i="3"/>
  <c r="F293" i="3"/>
  <c r="F294" i="3"/>
  <c r="D295" i="3"/>
  <c r="F295" i="3"/>
  <c r="F296" i="3"/>
  <c r="D296" i="3"/>
  <c r="F297" i="3"/>
  <c r="G297" i="3"/>
  <c r="J297" i="3"/>
  <c r="K297" i="3"/>
  <c r="AB297" i="3"/>
  <c r="L297" i="3"/>
  <c r="O297" i="3"/>
  <c r="P297" i="3"/>
  <c r="S297" i="3"/>
  <c r="T297" i="3"/>
  <c r="U297" i="3"/>
  <c r="X297" i="3"/>
  <c r="AA297" i="3"/>
  <c r="AC297" i="3"/>
  <c r="F298" i="3"/>
  <c r="F299" i="3"/>
  <c r="F300" i="3"/>
  <c r="F301" i="3"/>
  <c r="D302" i="3"/>
  <c r="D303" i="3"/>
  <c r="F304" i="3"/>
  <c r="G304" i="3"/>
  <c r="AC304" i="3"/>
  <c r="I304" i="3"/>
  <c r="J304" i="3"/>
  <c r="K304" i="3"/>
  <c r="AB304" i="3"/>
  <c r="L304" i="3"/>
  <c r="M304" i="3"/>
  <c r="O304" i="3"/>
  <c r="P304" i="3"/>
  <c r="R304" i="3"/>
  <c r="S304" i="3"/>
  <c r="T304" i="3"/>
  <c r="U304" i="3"/>
  <c r="V304" i="3"/>
  <c r="X304" i="3"/>
  <c r="F305" i="3"/>
  <c r="F306" i="3"/>
  <c r="F307" i="3"/>
  <c r="F308" i="3"/>
  <c r="F309" i="3"/>
  <c r="F310" i="3"/>
  <c r="D311" i="3"/>
  <c r="D312" i="3"/>
  <c r="F311" i="3"/>
  <c r="F312" i="3"/>
  <c r="F313" i="3"/>
  <c r="G313" i="3"/>
  <c r="I313" i="3"/>
  <c r="J313" i="3"/>
  <c r="K313" i="3"/>
  <c r="AB313" i="3"/>
  <c r="L313" i="3"/>
  <c r="M313" i="3"/>
  <c r="O313" i="3"/>
  <c r="AC313" i="3"/>
  <c r="P313" i="3"/>
  <c r="R313" i="3"/>
  <c r="S313" i="3"/>
  <c r="T313" i="3"/>
  <c r="U313" i="3"/>
  <c r="V313" i="3"/>
  <c r="X313" i="3"/>
  <c r="Z313" i="3"/>
  <c r="F314" i="3"/>
  <c r="F315" i="3"/>
  <c r="F316" i="3"/>
  <c r="F320" i="3"/>
  <c r="F321" i="3"/>
  <c r="F317" i="3"/>
  <c r="F318" i="3"/>
  <c r="F319" i="3"/>
  <c r="D320" i="3"/>
  <c r="D321" i="3"/>
  <c r="F322" i="3"/>
  <c r="G322" i="3"/>
  <c r="I322" i="3"/>
  <c r="Z322" i="3"/>
  <c r="J322" i="3"/>
  <c r="K322" i="3"/>
  <c r="L322" i="3"/>
  <c r="M322" i="3"/>
  <c r="O322" i="3"/>
  <c r="P322" i="3"/>
  <c r="R322" i="3"/>
  <c r="S322" i="3"/>
  <c r="T322" i="3"/>
  <c r="U322" i="3"/>
  <c r="V322" i="3"/>
  <c r="X322" i="3"/>
  <c r="AB322" i="3"/>
  <c r="AC322" i="3"/>
  <c r="F323" i="3"/>
  <c r="F324" i="3"/>
  <c r="F325" i="3"/>
  <c r="F329" i="3"/>
  <c r="F330" i="3"/>
  <c r="F326" i="3"/>
  <c r="F327" i="3"/>
  <c r="F328" i="3"/>
  <c r="D329" i="3"/>
  <c r="D330" i="3"/>
  <c r="F331" i="3"/>
  <c r="G331" i="3"/>
  <c r="J331" i="3"/>
  <c r="K331" i="3"/>
  <c r="AB331" i="3"/>
  <c r="L331" i="3"/>
  <c r="O331" i="3"/>
  <c r="P331" i="3"/>
  <c r="S331" i="3"/>
  <c r="T331" i="3"/>
  <c r="U331" i="3"/>
  <c r="X331" i="3"/>
  <c r="AC331" i="3"/>
  <c r="AA331" i="3"/>
  <c r="F332" i="3"/>
  <c r="F333" i="3"/>
  <c r="F334" i="3"/>
  <c r="F335" i="3"/>
  <c r="D336" i="3"/>
  <c r="D337" i="3"/>
  <c r="F338" i="3"/>
  <c r="G338" i="3"/>
  <c r="I338" i="3"/>
  <c r="J338" i="3"/>
  <c r="K338" i="3"/>
  <c r="L338" i="3"/>
  <c r="M338" i="3"/>
  <c r="O338" i="3"/>
  <c r="P338" i="3"/>
  <c r="R338" i="3"/>
  <c r="S338" i="3"/>
  <c r="T338" i="3"/>
  <c r="U338" i="3"/>
  <c r="V338" i="3"/>
  <c r="X338" i="3"/>
  <c r="AC338" i="3"/>
  <c r="AA338" i="3"/>
  <c r="AB338" i="3"/>
  <c r="F339" i="3"/>
  <c r="F340" i="3"/>
  <c r="F341" i="3"/>
  <c r="F342" i="3"/>
  <c r="F343" i="3"/>
  <c r="F344" i="3"/>
  <c r="D345" i="3"/>
  <c r="D346" i="3"/>
  <c r="F347" i="3"/>
  <c r="G347" i="3"/>
  <c r="I347" i="3"/>
  <c r="J347" i="3"/>
  <c r="AA347" i="3"/>
  <c r="K347" i="3"/>
  <c r="L347" i="3"/>
  <c r="M347" i="3"/>
  <c r="O347" i="3"/>
  <c r="P347" i="3"/>
  <c r="R347" i="3"/>
  <c r="S347" i="3"/>
  <c r="T347" i="3"/>
  <c r="AB347" i="3"/>
  <c r="U347" i="3"/>
  <c r="V347" i="3"/>
  <c r="X347" i="3"/>
  <c r="AC347" i="3"/>
  <c r="F348" i="3"/>
  <c r="F349" i="3"/>
  <c r="F350" i="3"/>
  <c r="F351" i="3"/>
  <c r="F352" i="3"/>
  <c r="F353" i="3"/>
  <c r="D354" i="3"/>
  <c r="D355" i="3"/>
  <c r="F356" i="3"/>
  <c r="F361" i="3"/>
  <c r="F362" i="3"/>
  <c r="G356" i="3"/>
  <c r="J356" i="3"/>
  <c r="K356" i="3"/>
  <c r="L356" i="3"/>
  <c r="O356" i="3"/>
  <c r="P356" i="3"/>
  <c r="S356" i="3"/>
  <c r="T356" i="3"/>
  <c r="U356" i="3"/>
  <c r="X356" i="3"/>
  <c r="AA356" i="3"/>
  <c r="F357" i="3"/>
  <c r="F358" i="3"/>
  <c r="F359" i="3"/>
  <c r="F360" i="3"/>
  <c r="D361" i="3"/>
  <c r="D362" i="3"/>
  <c r="F363" i="3"/>
  <c r="G363" i="3"/>
  <c r="J363" i="3"/>
  <c r="K363" i="3"/>
  <c r="AB363" i="3"/>
  <c r="L363" i="3"/>
  <c r="O363" i="3"/>
  <c r="AC363" i="3"/>
  <c r="P363" i="3"/>
  <c r="S363" i="3"/>
  <c r="T363" i="3"/>
  <c r="U363" i="3"/>
  <c r="X363" i="3"/>
  <c r="F364" i="3"/>
  <c r="F365" i="3"/>
  <c r="F366" i="3"/>
  <c r="F367" i="3"/>
  <c r="D368" i="3"/>
  <c r="D369" i="3"/>
  <c r="F370" i="3"/>
  <c r="G370" i="3"/>
  <c r="J370" i="3"/>
  <c r="K370" i="3"/>
  <c r="L370" i="3"/>
  <c r="O370" i="3"/>
  <c r="P370" i="3"/>
  <c r="S370" i="3"/>
  <c r="T370" i="3"/>
  <c r="AB370" i="3"/>
  <c r="U370" i="3"/>
  <c r="X370" i="3"/>
  <c r="F371" i="3"/>
  <c r="F372" i="3"/>
  <c r="F373" i="3"/>
  <c r="F374" i="3"/>
  <c r="D375" i="3"/>
  <c r="D376" i="3"/>
  <c r="F377" i="3"/>
  <c r="F382" i="3"/>
  <c r="F383" i="3"/>
  <c r="G377" i="3"/>
  <c r="J377" i="3"/>
  <c r="K377" i="3"/>
  <c r="L377" i="3"/>
  <c r="O377" i="3"/>
  <c r="AC377" i="3"/>
  <c r="P377" i="3"/>
  <c r="S377" i="3"/>
  <c r="T377" i="3"/>
  <c r="U377" i="3"/>
  <c r="X377" i="3"/>
  <c r="AA377" i="3"/>
  <c r="F378" i="3"/>
  <c r="F379" i="3"/>
  <c r="F380" i="3"/>
  <c r="F381" i="3"/>
  <c r="D382" i="3"/>
  <c r="D383" i="3"/>
  <c r="F384" i="3"/>
  <c r="G384" i="3"/>
  <c r="J384" i="3"/>
  <c r="AA384" i="3"/>
  <c r="K384" i="3"/>
  <c r="L384" i="3"/>
  <c r="O384" i="3"/>
  <c r="P384" i="3"/>
  <c r="S384" i="3"/>
  <c r="T384" i="3"/>
  <c r="U384" i="3"/>
  <c r="X384" i="3"/>
  <c r="AB384" i="3"/>
  <c r="F385" i="3"/>
  <c r="F386" i="3"/>
  <c r="F387" i="3"/>
  <c r="F389" i="3"/>
  <c r="F390" i="3"/>
  <c r="F388" i="3"/>
  <c r="D389" i="3"/>
  <c r="D390" i="3"/>
  <c r="F391" i="3"/>
  <c r="G391" i="3"/>
  <c r="AC391" i="3"/>
  <c r="J391" i="3"/>
  <c r="K391" i="3"/>
  <c r="L391" i="3"/>
  <c r="AA391" i="3"/>
  <c r="AD391" i="3"/>
  <c r="AE391" i="3"/>
  <c r="O391" i="3"/>
  <c r="P391" i="3"/>
  <c r="S391" i="3"/>
  <c r="T391" i="3"/>
  <c r="U391" i="3"/>
  <c r="X391" i="3"/>
  <c r="AB391" i="3"/>
  <c r="F392" i="3"/>
  <c r="F393" i="3"/>
  <c r="F394" i="3"/>
  <c r="F395" i="3"/>
  <c r="D396" i="3"/>
  <c r="D397" i="3"/>
  <c r="F396" i="3"/>
  <c r="F397" i="3"/>
  <c r="F398" i="3"/>
  <c r="G398" i="3"/>
  <c r="H398" i="3"/>
  <c r="J398" i="3"/>
  <c r="K398" i="3"/>
  <c r="L398" i="3"/>
  <c r="N398" i="3"/>
  <c r="O398" i="3"/>
  <c r="P398" i="3"/>
  <c r="Q398" i="3"/>
  <c r="S398" i="3"/>
  <c r="T398" i="3"/>
  <c r="U398" i="3"/>
  <c r="W398" i="3"/>
  <c r="X398" i="3"/>
  <c r="AC398" i="3"/>
  <c r="F399" i="3"/>
  <c r="F400" i="3"/>
  <c r="F401" i="3"/>
  <c r="F402" i="3"/>
  <c r="F403" i="3"/>
  <c r="F404" i="3"/>
  <c r="D405" i="3"/>
  <c r="D406" i="3"/>
  <c r="F407" i="3"/>
  <c r="G407" i="3"/>
  <c r="H407" i="3"/>
  <c r="Y407" i="3"/>
  <c r="AD407" i="3"/>
  <c r="AE407" i="3"/>
  <c r="J407" i="3"/>
  <c r="K407" i="3"/>
  <c r="AB407" i="3"/>
  <c r="L407" i="3"/>
  <c r="N407" i="3"/>
  <c r="O407" i="3"/>
  <c r="P407" i="3"/>
  <c r="Q407" i="3"/>
  <c r="S407" i="3"/>
  <c r="T407" i="3"/>
  <c r="U407" i="3"/>
  <c r="W407" i="3"/>
  <c r="X407" i="3"/>
  <c r="AA407" i="3"/>
  <c r="AC407" i="3"/>
  <c r="F408" i="3"/>
  <c r="F409" i="3"/>
  <c r="F410" i="3"/>
  <c r="F411" i="3"/>
  <c r="F412" i="3"/>
  <c r="F413" i="3"/>
  <c r="D414" i="3"/>
  <c r="D415" i="3"/>
  <c r="F414" i="3"/>
  <c r="F415" i="3"/>
  <c r="F416" i="3"/>
  <c r="H416" i="3"/>
  <c r="I416" i="3"/>
  <c r="Z416" i="3"/>
  <c r="J416" i="3"/>
  <c r="AA416" i="3"/>
  <c r="AD416" i="3"/>
  <c r="AE416" i="3"/>
  <c r="O416" i="3"/>
  <c r="AC416" i="3"/>
  <c r="Q416" i="3"/>
  <c r="Y416" i="3"/>
  <c r="R416" i="3"/>
  <c r="S416" i="3"/>
  <c r="X416" i="3"/>
  <c r="F417" i="3"/>
  <c r="F418" i="3"/>
  <c r="F419" i="3"/>
  <c r="D420" i="3"/>
  <c r="D421" i="3"/>
  <c r="F422" i="3"/>
  <c r="H422" i="3"/>
  <c r="I422" i="3"/>
  <c r="J422" i="3"/>
  <c r="O422" i="3"/>
  <c r="AC422" i="3"/>
  <c r="Q422" i="3"/>
  <c r="R422" i="3"/>
  <c r="Z422" i="3"/>
  <c r="S422" i="3"/>
  <c r="X422" i="3"/>
  <c r="Y422" i="3"/>
  <c r="AA422" i="3"/>
  <c r="F423" i="3"/>
  <c r="F424" i="3"/>
  <c r="F425" i="3"/>
  <c r="D426" i="3"/>
  <c r="F426" i="3"/>
  <c r="F427" i="3"/>
  <c r="D427" i="3"/>
  <c r="F428" i="3"/>
  <c r="H428" i="3"/>
  <c r="I428" i="3"/>
  <c r="Z428" i="3"/>
  <c r="AD428" i="3"/>
  <c r="AE428" i="3"/>
  <c r="J428" i="3"/>
  <c r="O428" i="3"/>
  <c r="Q428" i="3"/>
  <c r="Y428" i="3"/>
  <c r="R428" i="3"/>
  <c r="S428" i="3"/>
  <c r="AA428" i="3"/>
  <c r="X428" i="3"/>
  <c r="AC428" i="3"/>
  <c r="F429" i="3"/>
  <c r="F432" i="3"/>
  <c r="F430" i="3"/>
  <c r="F431" i="3"/>
  <c r="D432" i="3"/>
  <c r="D433" i="3"/>
  <c r="F433" i="3"/>
  <c r="F434" i="3"/>
  <c r="H434" i="3"/>
  <c r="I434" i="3"/>
  <c r="J434" i="3"/>
  <c r="AA434" i="3"/>
  <c r="O434" i="3"/>
  <c r="Q434" i="3"/>
  <c r="Y434" i="3"/>
  <c r="R434" i="3"/>
  <c r="Z434" i="3"/>
  <c r="S434" i="3"/>
  <c r="X434" i="3"/>
  <c r="AC434" i="3"/>
  <c r="F435" i="3"/>
  <c r="F436" i="3"/>
  <c r="F437" i="3"/>
  <c r="D438" i="3"/>
  <c r="F438" i="3"/>
  <c r="F439" i="3"/>
  <c r="D439" i="3"/>
  <c r="F440" i="3"/>
  <c r="H440" i="3"/>
  <c r="I440" i="3"/>
  <c r="J440" i="3"/>
  <c r="O440" i="3"/>
  <c r="Q440" i="3"/>
  <c r="R440" i="3"/>
  <c r="Z440" i="3"/>
  <c r="S440" i="3"/>
  <c r="AA440" i="3"/>
  <c r="X440" i="3"/>
  <c r="Y440" i="3"/>
  <c r="AC440" i="3"/>
  <c r="F441" i="3"/>
  <c r="F442" i="3"/>
  <c r="F443" i="3"/>
  <c r="D444" i="3"/>
  <c r="D445" i="3"/>
  <c r="F446" i="3"/>
  <c r="F450" i="3"/>
  <c r="F451" i="3"/>
  <c r="H446" i="3"/>
  <c r="I446" i="3"/>
  <c r="J446" i="3"/>
  <c r="O446" i="3"/>
  <c r="Q446" i="3"/>
  <c r="R446" i="3"/>
  <c r="S446" i="3"/>
  <c r="AA446" i="3"/>
  <c r="X446" i="3"/>
  <c r="AC446" i="3"/>
  <c r="Y446" i="3"/>
  <c r="Z446" i="3"/>
  <c r="F447" i="3"/>
  <c r="F448" i="3"/>
  <c r="F449" i="3"/>
  <c r="D450" i="3"/>
  <c r="D451" i="3"/>
  <c r="F452" i="3"/>
  <c r="F456" i="3"/>
  <c r="F457" i="3"/>
  <c r="H452" i="3"/>
  <c r="I452" i="3"/>
  <c r="J452" i="3"/>
  <c r="O452" i="3"/>
  <c r="Q452" i="3"/>
  <c r="R452" i="3"/>
  <c r="Z452" i="3"/>
  <c r="S452" i="3"/>
  <c r="X452" i="3"/>
  <c r="AC452" i="3"/>
  <c r="Y452" i="3"/>
  <c r="AA452" i="3"/>
  <c r="F453" i="3"/>
  <c r="F454" i="3"/>
  <c r="F455" i="3"/>
  <c r="D456" i="3"/>
  <c r="D457" i="3"/>
  <c r="F458" i="3"/>
  <c r="H458" i="3"/>
  <c r="I458" i="3"/>
  <c r="J458" i="3"/>
  <c r="O458" i="3"/>
  <c r="Q458" i="3"/>
  <c r="R458" i="3"/>
  <c r="S458" i="3"/>
  <c r="X458" i="3"/>
  <c r="Y458" i="3"/>
  <c r="Z458" i="3"/>
  <c r="AA458" i="3"/>
  <c r="AC458" i="3"/>
  <c r="F459" i="3"/>
  <c r="F462" i="3"/>
  <c r="F463" i="3"/>
  <c r="F460" i="3"/>
  <c r="F461" i="3"/>
  <c r="D462" i="3"/>
  <c r="D463" i="3"/>
  <c r="F464" i="3"/>
  <c r="F468" i="3"/>
  <c r="F469" i="3"/>
  <c r="H464" i="3"/>
  <c r="I464" i="3"/>
  <c r="Z464" i="3"/>
  <c r="J464" i="3"/>
  <c r="O464" i="3"/>
  <c r="Q464" i="3"/>
  <c r="Y464" i="3"/>
  <c r="R464" i="3"/>
  <c r="S464" i="3"/>
  <c r="X464" i="3"/>
  <c r="AA464" i="3"/>
  <c r="F465" i="3"/>
  <c r="F466" i="3"/>
  <c r="F467" i="3"/>
  <c r="D468" i="3"/>
  <c r="D469" i="3"/>
  <c r="F470" i="3"/>
  <c r="H470" i="3"/>
  <c r="Y470" i="3"/>
  <c r="I470" i="3"/>
  <c r="J470" i="3"/>
  <c r="O470" i="3"/>
  <c r="AC470" i="3"/>
  <c r="Q470" i="3"/>
  <c r="R470" i="3"/>
  <c r="Z470" i="3"/>
  <c r="S470" i="3"/>
  <c r="X470" i="3"/>
  <c r="AA470" i="3"/>
  <c r="F471" i="3"/>
  <c r="F472" i="3"/>
  <c r="F473" i="3"/>
  <c r="F474" i="3"/>
  <c r="D475" i="3"/>
  <c r="D476" i="3"/>
  <c r="F475" i="3"/>
  <c r="F476" i="3"/>
  <c r="F477" i="3"/>
  <c r="H477" i="3"/>
  <c r="I477" i="3"/>
  <c r="J477" i="3"/>
  <c r="O477" i="3"/>
  <c r="AC477" i="3"/>
  <c r="Q477" i="3"/>
  <c r="Y477" i="3"/>
  <c r="R477" i="3"/>
  <c r="S477" i="3"/>
  <c r="X477" i="3"/>
  <c r="Z477" i="3"/>
  <c r="AA477" i="3"/>
  <c r="F478" i="3"/>
  <c r="F479" i="3"/>
  <c r="F480" i="3"/>
  <c r="F481" i="3"/>
  <c r="D482" i="3"/>
  <c r="D483" i="3"/>
  <c r="F482" i="3"/>
  <c r="F483" i="3"/>
  <c r="F484" i="3"/>
  <c r="H484" i="3"/>
  <c r="I484" i="3"/>
  <c r="Z484" i="3"/>
  <c r="J484" i="3"/>
  <c r="O484" i="3"/>
  <c r="AC484" i="3"/>
  <c r="Q484" i="3"/>
  <c r="Y484" i="3"/>
  <c r="AD484" i="3"/>
  <c r="AE484" i="3"/>
  <c r="R484" i="3"/>
  <c r="S484" i="3"/>
  <c r="X484" i="3"/>
  <c r="AA484" i="3"/>
  <c r="F485" i="3"/>
  <c r="F486" i="3"/>
  <c r="F487" i="3"/>
  <c r="F488" i="3"/>
  <c r="D489" i="3"/>
  <c r="D490" i="3"/>
  <c r="F489" i="3"/>
  <c r="F490" i="3"/>
  <c r="F491" i="3"/>
  <c r="G491" i="3"/>
  <c r="I491" i="3"/>
  <c r="J491" i="3"/>
  <c r="K491" i="3"/>
  <c r="AB491" i="3"/>
  <c r="L491" i="3"/>
  <c r="M491" i="3"/>
  <c r="O491" i="3"/>
  <c r="P491" i="3"/>
  <c r="R491" i="3"/>
  <c r="S491" i="3"/>
  <c r="T491" i="3"/>
  <c r="U491" i="3"/>
  <c r="V491" i="3"/>
  <c r="X491" i="3"/>
  <c r="AC491" i="3"/>
  <c r="F492" i="3"/>
  <c r="F493" i="3"/>
  <c r="F494" i="3"/>
  <c r="F495" i="3"/>
  <c r="F496" i="3"/>
  <c r="F497" i="3"/>
  <c r="D498" i="3"/>
  <c r="F498" i="3"/>
  <c r="F499" i="3"/>
  <c r="D499" i="3"/>
  <c r="F500" i="3"/>
  <c r="G500" i="3"/>
  <c r="J500" i="3"/>
  <c r="K500" i="3"/>
  <c r="AB500" i="3"/>
  <c r="L500" i="3"/>
  <c r="O500" i="3"/>
  <c r="P500" i="3"/>
  <c r="S500" i="3"/>
  <c r="T500" i="3"/>
  <c r="U500" i="3"/>
  <c r="X500" i="3"/>
  <c r="AC500" i="3"/>
  <c r="AA500" i="3"/>
  <c r="F501" i="3"/>
  <c r="F502" i="3"/>
  <c r="F503" i="3"/>
  <c r="F504" i="3"/>
  <c r="D505" i="3"/>
  <c r="D506" i="3"/>
  <c r="F505" i="3"/>
  <c r="F506" i="3"/>
  <c r="F507" i="3"/>
  <c r="G507" i="3"/>
  <c r="I507" i="3"/>
  <c r="Z507" i="3"/>
  <c r="J507" i="3"/>
  <c r="K507" i="3"/>
  <c r="AB507" i="3"/>
  <c r="L507" i="3"/>
  <c r="M507" i="3"/>
  <c r="O507" i="3"/>
  <c r="P507" i="3"/>
  <c r="R507" i="3"/>
  <c r="S507" i="3"/>
  <c r="T507" i="3"/>
  <c r="U507" i="3"/>
  <c r="V507" i="3"/>
  <c r="X507" i="3"/>
  <c r="AA507" i="3"/>
  <c r="AD507" i="3"/>
  <c r="AE507" i="3"/>
  <c r="AC507" i="3"/>
  <c r="F508" i="3"/>
  <c r="F509" i="3"/>
  <c r="F510" i="3"/>
  <c r="F511" i="3"/>
  <c r="F514" i="3"/>
  <c r="F515" i="3"/>
  <c r="F512" i="3"/>
  <c r="F513" i="3"/>
  <c r="D514" i="3"/>
  <c r="D515" i="3"/>
  <c r="Y1" i="1"/>
  <c r="X1" i="1"/>
  <c r="V1" i="1"/>
  <c r="AD258" i="3"/>
  <c r="AE258" i="3"/>
  <c r="AD470" i="3"/>
  <c r="AE470" i="3"/>
  <c r="AD168" i="3"/>
  <c r="AE168" i="3"/>
  <c r="AD477" i="3"/>
  <c r="AE477" i="3"/>
  <c r="AD322" i="3"/>
  <c r="AE322" i="3"/>
  <c r="AD500" i="3"/>
  <c r="AE500" i="3"/>
  <c r="AD434" i="3"/>
  <c r="AE434" i="3"/>
  <c r="AB356" i="3"/>
  <c r="AA491" i="3"/>
  <c r="AB398" i="3"/>
  <c r="AC356" i="3"/>
  <c r="Z304" i="3"/>
  <c r="AD304" i="3"/>
  <c r="AE304" i="3"/>
  <c r="AD204" i="3"/>
  <c r="AE204" i="3"/>
  <c r="F180" i="3"/>
  <c r="F181" i="3"/>
  <c r="AD422" i="3"/>
  <c r="AE422" i="3"/>
  <c r="AB377" i="3"/>
  <c r="AD377" i="3"/>
  <c r="AE377" i="3"/>
  <c r="AD356" i="3"/>
  <c r="AE356" i="3"/>
  <c r="AA304" i="3"/>
  <c r="AD246" i="3"/>
  <c r="AE246" i="3"/>
  <c r="Z491" i="3"/>
  <c r="AD491" i="3"/>
  <c r="AE491" i="3"/>
  <c r="AD452" i="3"/>
  <c r="AE452" i="3"/>
  <c r="AD446" i="3"/>
  <c r="AE446" i="3"/>
  <c r="F420" i="3"/>
  <c r="F421" i="3"/>
  <c r="AA398" i="3"/>
  <c r="F345" i="3"/>
  <c r="F346" i="3"/>
  <c r="AA131" i="3"/>
  <c r="AD131" i="3"/>
  <c r="AE131" i="3"/>
  <c r="AD56" i="3"/>
  <c r="AE56" i="3"/>
  <c r="AD331" i="3"/>
  <c r="AE331" i="3"/>
  <c r="AC106" i="3"/>
  <c r="AC99" i="3"/>
  <c r="AD99" i="3"/>
  <c r="AE99" i="3"/>
  <c r="AD440" i="3"/>
  <c r="AE440" i="3"/>
  <c r="F375" i="3"/>
  <c r="F376" i="3"/>
  <c r="F368" i="3"/>
  <c r="F369" i="3"/>
  <c r="AD270" i="3"/>
  <c r="AE270" i="3"/>
  <c r="F196" i="3"/>
  <c r="F197" i="3"/>
  <c r="F129" i="3"/>
  <c r="F130" i="3"/>
  <c r="AD38" i="3"/>
  <c r="AE38" i="3"/>
  <c r="AD106" i="3"/>
  <c r="AE106" i="3"/>
  <c r="AD384" i="3"/>
  <c r="AE384" i="3"/>
  <c r="AA20" i="3"/>
  <c r="AD20" i="3"/>
  <c r="AE20" i="3"/>
  <c r="AC464" i="3"/>
  <c r="AD464" i="3"/>
  <c r="AE464" i="3"/>
  <c r="AC384" i="3"/>
  <c r="F405" i="3"/>
  <c r="F406" i="3"/>
  <c r="F302" i="3"/>
  <c r="F303" i="3"/>
  <c r="AD264" i="3"/>
  <c r="AE264" i="3"/>
  <c r="AC152" i="3"/>
  <c r="AD152" i="3"/>
  <c r="AE152" i="3"/>
  <c r="F150" i="3"/>
  <c r="F151" i="3"/>
  <c r="AC122" i="3"/>
  <c r="AD122" i="3"/>
  <c r="AE122" i="3"/>
  <c r="AD113" i="3"/>
  <c r="AE113" i="3"/>
  <c r="AC85" i="3"/>
  <c r="AD32" i="3"/>
  <c r="AE32" i="3"/>
  <c r="F6" i="3"/>
  <c r="F7" i="3"/>
  <c r="AD458" i="3"/>
  <c r="AE458" i="3"/>
  <c r="AA363" i="3"/>
  <c r="AD363" i="3"/>
  <c r="AE363" i="3"/>
  <c r="F238" i="3"/>
  <c r="F239" i="3"/>
  <c r="F226" i="3"/>
  <c r="F227" i="3"/>
  <c r="F187" i="3"/>
  <c r="F188" i="3"/>
  <c r="F136" i="3"/>
  <c r="F137" i="3"/>
  <c r="AA78" i="3"/>
  <c r="AD78" i="3"/>
  <c r="AE78" i="3"/>
  <c r="AD8" i="3"/>
  <c r="AE8" i="3"/>
  <c r="F444" i="3"/>
  <c r="F445" i="3"/>
  <c r="Y398" i="3"/>
  <c r="AD398" i="3"/>
  <c r="AE398" i="3"/>
  <c r="AA283" i="3"/>
  <c r="AD283" i="3"/>
  <c r="AE283" i="3"/>
  <c r="AD234" i="3"/>
  <c r="AE234" i="3"/>
  <c r="AC159" i="3"/>
  <c r="AD159" i="3"/>
  <c r="AE159" i="3"/>
  <c r="F354" i="3"/>
  <c r="F355" i="3"/>
  <c r="F336" i="3"/>
  <c r="F337" i="3"/>
  <c r="AD297" i="3"/>
  <c r="AE297" i="3"/>
  <c r="AD252" i="3"/>
  <c r="AE252" i="3"/>
  <c r="Y189" i="3"/>
  <c r="AD189" i="3"/>
  <c r="AE189" i="3"/>
  <c r="AD175" i="3"/>
  <c r="AE175" i="3"/>
  <c r="AA138" i="3"/>
  <c r="AA85" i="3"/>
  <c r="AD85" i="3"/>
  <c r="AE85" i="3"/>
  <c r="AA14" i="1"/>
  <c r="X15" i="1"/>
  <c r="Z15" i="1"/>
  <c r="AB15" i="1"/>
  <c r="Z347" i="3"/>
  <c r="AD347" i="3"/>
  <c r="AE347" i="3"/>
  <c r="AA313" i="3"/>
  <c r="AD313" i="3"/>
  <c r="AE313" i="3"/>
  <c r="AA71" i="3"/>
  <c r="AD71" i="3"/>
  <c r="AE71" i="3"/>
  <c r="AC370" i="3"/>
  <c r="AA370" i="3"/>
  <c r="AD370" i="3"/>
  <c r="AE370" i="3"/>
  <c r="Z338" i="3"/>
  <c r="AD338" i="3"/>
  <c r="AE338" i="3"/>
  <c r="AA322" i="3"/>
  <c r="AB145" i="3"/>
  <c r="AD145" i="3"/>
  <c r="AE145" i="3"/>
  <c r="AC138" i="3"/>
  <c r="AA92" i="3"/>
  <c r="AD92" i="3"/>
  <c r="AE92" i="3"/>
  <c r="B21" i="1"/>
  <c r="I21" i="1"/>
  <c r="N23" i="1"/>
  <c r="A4" i="1"/>
  <c r="L21" i="1"/>
  <c r="N20" i="1"/>
  <c r="N25" i="1"/>
  <c r="F20" i="1"/>
  <c r="F10" i="1"/>
  <c r="N24" i="1"/>
  <c r="L20" i="1"/>
  <c r="I20" i="1"/>
  <c r="I10" i="1"/>
  <c r="B5" i="1"/>
  <c r="N22" i="1"/>
  <c r="F21" i="1"/>
  <c r="B30" i="1"/>
  <c r="C20" i="1"/>
  <c r="B10" i="1"/>
  <c r="AD138" i="3"/>
  <c r="AE138" i="3"/>
  <c r="L22" i="1"/>
  <c r="L8" i="1"/>
  <c r="L10" i="1"/>
  <c r="X14" i="1"/>
  <c r="Z14" i="1"/>
  <c r="X16" i="1"/>
  <c r="X20" i="1"/>
  <c r="B25" i="1"/>
  <c r="D31" i="1"/>
  <c r="AA19" i="1"/>
  <c r="L24" i="1"/>
  <c r="D33" i="1"/>
  <c r="AA20" i="1"/>
  <c r="L25" i="1"/>
  <c r="D34" i="1"/>
  <c r="AA39" i="1"/>
  <c r="AA21" i="1"/>
  <c r="AA17" i="1"/>
  <c r="L23" i="1"/>
  <c r="D32" i="1"/>
  <c r="AA22" i="1"/>
  <c r="I22" i="1"/>
  <c r="B29" i="1"/>
  <c r="B28" i="1"/>
  <c r="B20" i="1"/>
  <c r="A10" i="1"/>
  <c r="B22" i="1"/>
  <c r="C22" i="1"/>
  <c r="F22" i="1"/>
  <c r="X17" i="1"/>
  <c r="B23" i="1"/>
  <c r="X22" i="1"/>
  <c r="X21" i="1"/>
  <c r="X19" i="1"/>
  <c r="B24" i="1"/>
  <c r="X39" i="1"/>
  <c r="Z19" i="1"/>
  <c r="I24" i="1"/>
  <c r="Z20" i="1"/>
  <c r="I25" i="1"/>
  <c r="B34" i="1"/>
  <c r="Z17" i="1"/>
  <c r="I23" i="1"/>
  <c r="Z22" i="1"/>
  <c r="Z39" i="1"/>
  <c r="Z21" i="1"/>
  <c r="Y19" i="1"/>
  <c r="F24" i="1"/>
  <c r="Y39" i="1"/>
  <c r="Y17" i="1"/>
  <c r="F23" i="1"/>
  <c r="Y22" i="1"/>
  <c r="Y20" i="1"/>
  <c r="F25" i="1"/>
  <c r="Y21" i="1"/>
  <c r="B31" i="1"/>
  <c r="X38" i="1"/>
  <c r="X40" i="1"/>
  <c r="B33" i="1"/>
  <c r="X37" i="1"/>
  <c r="B32" i="1"/>
</calcChain>
</file>

<file path=xl/sharedStrings.xml><?xml version="1.0" encoding="utf-8"?>
<sst xmlns="http://schemas.openxmlformats.org/spreadsheetml/2006/main" count="1625" uniqueCount="596">
  <si>
    <t>Informationen über Einfache Weichen</t>
  </si>
  <si>
    <t>Bitte hier die Nummer der</t>
  </si>
  <si>
    <t>Weichenübersicht</t>
  </si>
  <si>
    <t>Weichenform wählen:</t>
  </si>
  <si>
    <t xml:space="preserve">EW </t>
  </si>
  <si>
    <t>EW  49-190-1:7,5-St</t>
  </si>
  <si>
    <t>EW  49-190-1:7,5-H</t>
  </si>
  <si>
    <t>&gt;&gt;</t>
  </si>
  <si>
    <t>&lt;&lt;</t>
  </si>
  <si>
    <t>EW  49-190-1:9-St</t>
  </si>
  <si>
    <t>WE</t>
  </si>
  <si>
    <t>EW  49-190-1:9-B</t>
  </si>
  <si>
    <t>Herzstück</t>
  </si>
  <si>
    <t>Endteil</t>
  </si>
  <si>
    <t>EW  49-190-1:9-H</t>
  </si>
  <si>
    <t>WA</t>
  </si>
  <si>
    <t>Mittelteil</t>
  </si>
  <si>
    <t>m</t>
  </si>
  <si>
    <t>ABW</t>
  </si>
  <si>
    <t>ABW  49-215-1:4,8-St</t>
  </si>
  <si>
    <t xml:space="preserve">    Zungenbereich</t>
  </si>
  <si>
    <t>ABW  49-215-1:4,8-H</t>
  </si>
  <si>
    <t xml:space="preserve"> </t>
  </si>
  <si>
    <t>EW  49-300-1:9-B</t>
  </si>
  <si>
    <t>EW  49-300-1:9-H</t>
  </si>
  <si>
    <t>Bitte gewünschte Daten eingeben:</t>
  </si>
  <si>
    <t>EW  49-300-1:14-B</t>
  </si>
  <si>
    <t>Berechnungsmaße:</t>
  </si>
  <si>
    <t>Lade- volumen/gewicht Wagen:</t>
  </si>
  <si>
    <t>Hinweise:</t>
  </si>
  <si>
    <t>EW  49-300-1:14-H</t>
  </si>
  <si>
    <t>Schotter vor Kopf:</t>
  </si>
  <si>
    <t>Altschotter:</t>
  </si>
  <si>
    <t>*1</t>
  </si>
  <si>
    <t>m³</t>
  </si>
  <si>
    <t>*1 Ladevolumen Ux-Wg=12 m³</t>
  </si>
  <si>
    <t>EW  49-500-1:12-B</t>
  </si>
  <si>
    <t>Schotterunterdeckung:</t>
  </si>
  <si>
    <t>Grundsch./PSS:</t>
  </si>
  <si>
    <t>*2</t>
  </si>
  <si>
    <t>t</t>
  </si>
  <si>
    <t>*2 Ladegewicht 269_Wg=50 t</t>
  </si>
  <si>
    <t>EW  49-500-1:14-B</t>
  </si>
  <si>
    <t>PSS-Unterdeckung:</t>
  </si>
  <si>
    <t>Stopfschotter:</t>
  </si>
  <si>
    <t>*3</t>
  </si>
  <si>
    <t>*3 Ladegewicht Fc-Wg=27 t</t>
  </si>
  <si>
    <t>EW  49-500-1:12-H</t>
  </si>
  <si>
    <t>EW  49-500-1:14-H</t>
  </si>
  <si>
    <t>Bauteil:</t>
  </si>
  <si>
    <t xml:space="preserve">             ZGV</t>
  </si>
  <si>
    <t xml:space="preserve">   MT</t>
  </si>
  <si>
    <t xml:space="preserve">  HZ</t>
  </si>
  <si>
    <t xml:space="preserve">    ET</t>
  </si>
  <si>
    <t xml:space="preserve">             Bemerkungen</t>
  </si>
  <si>
    <t>EW  49-760-1:14-B</t>
  </si>
  <si>
    <t xml:space="preserve">   inkl. Sw vor WA</t>
  </si>
  <si>
    <t>EW  49-760-1:18,5-B</t>
  </si>
  <si>
    <t>Längenmaße:</t>
  </si>
  <si>
    <t>EW  49-760-1:14-H</t>
  </si>
  <si>
    <t>Breitenmaße:</t>
  </si>
  <si>
    <t>EW  49-760-1:18,5-H</t>
  </si>
  <si>
    <t>Flächenmaße:</t>
  </si>
  <si>
    <t>Kr</t>
  </si>
  <si>
    <t>Kr 49-1:2,9 St</t>
  </si>
  <si>
    <t>Volumen in m³:</t>
  </si>
  <si>
    <t>Kr 49-1:2,9 H</t>
  </si>
  <si>
    <t>Schotter in t:</t>
  </si>
  <si>
    <t>Kr 49-1:3,224 St</t>
  </si>
  <si>
    <t>PSS in t:</t>
  </si>
  <si>
    <t>Kr 49-1:3,224 H</t>
  </si>
  <si>
    <t>Kr 49-1:3,683 St</t>
  </si>
  <si>
    <t>Summen:</t>
  </si>
  <si>
    <t>Kr 49-1:3,683 H</t>
  </si>
  <si>
    <t>Geom. Länge:</t>
  </si>
  <si>
    <t>Kr 49-1:4,444 St</t>
  </si>
  <si>
    <t>Gesamtlänge:</t>
  </si>
  <si>
    <t>Kr 49-1:4,444 H</t>
  </si>
  <si>
    <t>Leistungslänge:</t>
  </si>
  <si>
    <t>Kr 49-1:6,66 St</t>
  </si>
  <si>
    <t>Fläche:</t>
  </si>
  <si>
    <t>m²</t>
  </si>
  <si>
    <t>Kr 49-1:6,66 H</t>
  </si>
  <si>
    <t>Volumen [m³]:</t>
  </si>
  <si>
    <t>Kr 49-1:7,5 St</t>
  </si>
  <si>
    <t>Schotter [t]:</t>
  </si>
  <si>
    <t>Kr 49-1:7,5 H</t>
  </si>
  <si>
    <t>PSS [t]:</t>
  </si>
  <si>
    <t>Kr 49-1:9 St</t>
  </si>
  <si>
    <t>Bodenaushub:</t>
  </si>
  <si>
    <t>St</t>
  </si>
  <si>
    <t>Kr 49-1:9 H</t>
  </si>
  <si>
    <t>Grundschotter:</t>
  </si>
  <si>
    <t>Kr 49-1:14 St</t>
  </si>
  <si>
    <t>PSS:</t>
  </si>
  <si>
    <t>Kr 49-1:14 H</t>
  </si>
  <si>
    <t>EKW</t>
  </si>
  <si>
    <t>EKW 49-190-1:7,5 H</t>
  </si>
  <si>
    <t>EKW 49-190-1:9 H</t>
  </si>
  <si>
    <t>EKW 49-190-1:9/7,5 1:7,5 1:6,6 1:6,3 H</t>
  </si>
  <si>
    <t>EKW 49-500-1:9 H</t>
  </si>
  <si>
    <t>DKW</t>
  </si>
  <si>
    <t>DKW 49-190-1:7,5 H</t>
  </si>
  <si>
    <t>DKW 49-190-1:9 H</t>
  </si>
  <si>
    <t>DKW 49-190-1:9/7,5 1:7,5 1:6,6 1:6,3 H</t>
  </si>
  <si>
    <t>DKW49-500-1:9 H</t>
  </si>
  <si>
    <t>EW  54-190-1:7,5-St</t>
  </si>
  <si>
    <t>EW  54-190-1:7,5-H</t>
  </si>
  <si>
    <t>EW  54-190-1:9-St</t>
  </si>
  <si>
    <t>EW  54-190-1:9-B</t>
  </si>
  <si>
    <t>EW  54-190-1:9-H</t>
  </si>
  <si>
    <t>ABW  54-214-1:4,8-St</t>
  </si>
  <si>
    <t>ABW 54-214-1:4,8-H</t>
  </si>
  <si>
    <t>EW  54-300-1:9-B</t>
  </si>
  <si>
    <t>EW  54-300-1:9-H</t>
  </si>
  <si>
    <t>EW  54-300-1:14-B</t>
  </si>
  <si>
    <t>EW  54-300-1:14-H</t>
  </si>
  <si>
    <t>EW  54-500-1:12-B</t>
  </si>
  <si>
    <t>EW  54-500-1:14-B</t>
  </si>
  <si>
    <t>EW  54-500-1:12-H</t>
  </si>
  <si>
    <t>EW  54-500-1:14-H</t>
  </si>
  <si>
    <t>EW  54-760-1:14-B</t>
  </si>
  <si>
    <t>EW  54-760-1:14-H</t>
  </si>
  <si>
    <t>EW  54-760-1:15-H</t>
  </si>
  <si>
    <t>EW  54-760-1:15-B</t>
  </si>
  <si>
    <t>EW  54-760-1:18,5-B</t>
  </si>
  <si>
    <t>EW  54-760-1:18,5-H</t>
  </si>
  <si>
    <t>Kr 54-1:2,9 H</t>
  </si>
  <si>
    <t>Kr 54-1:3,224 H</t>
  </si>
  <si>
    <t>Kr 54-1:3,683 H</t>
  </si>
  <si>
    <t>Kr 54-1:4,444 H</t>
  </si>
  <si>
    <t>Kr 54-1:6,694 H</t>
  </si>
  <si>
    <t>Kr 54-1:7,5 H</t>
  </si>
  <si>
    <t>Kr 54-1:9 H</t>
  </si>
  <si>
    <t>Kr 54-1:11,515 H</t>
  </si>
  <si>
    <t>Kr 54-1:14 H</t>
  </si>
  <si>
    <t>Kr 54-1:18,5 H</t>
  </si>
  <si>
    <t>EKW 54-190-1:7,5 H</t>
  </si>
  <si>
    <t>EKW 54-190-1:9 H</t>
  </si>
  <si>
    <t>EKW 54-190-1:9/1:7,5 H</t>
  </si>
  <si>
    <t>EKW 54-500-1:9 H</t>
  </si>
  <si>
    <t>DKW 54-190-1:7,5 H</t>
  </si>
  <si>
    <t>DKW 54-190-1:9 H</t>
  </si>
  <si>
    <t>DKW 54-190-1:9/1:7,5 H</t>
  </si>
  <si>
    <t>DKW 54-500-1:9 H</t>
  </si>
  <si>
    <t>EW  60-300-1:9-B</t>
  </si>
  <si>
    <t>EW  60-300-1:9-H</t>
  </si>
  <si>
    <t>EW  60-300-1:14-B</t>
  </si>
  <si>
    <t>EW  60-300-1:14-H</t>
  </si>
  <si>
    <t>EW  60-500-1:12-B</t>
  </si>
  <si>
    <t>EW  60-500-1:12-H</t>
  </si>
  <si>
    <t>EW  60-500-1:14-B</t>
  </si>
  <si>
    <t>EW  60-500-1:14-H</t>
  </si>
  <si>
    <t>EW  60-760-1:14-B</t>
  </si>
  <si>
    <t>EW  60-760-1:14-H</t>
  </si>
  <si>
    <t>EW  60-760-1:18,5-B</t>
  </si>
  <si>
    <t>EW  60-760-1:18,5 fb-B</t>
  </si>
  <si>
    <t>EW  60-1200-1:18,5-B</t>
  </si>
  <si>
    <t>EW  60-1200-1:18,5 fb-B</t>
  </si>
  <si>
    <t>EW  60-2500-1:26,5 fb-B</t>
  </si>
  <si>
    <t>EW  60-6000/3700-1:32,5 fb-B</t>
  </si>
  <si>
    <t>EW  60-6000/7000-1:42 fb-B</t>
  </si>
  <si>
    <t>Kr 60-1:14 H</t>
  </si>
  <si>
    <t>Kr 60-1:14 B</t>
  </si>
  <si>
    <t>Kr 60-1:18,5 H</t>
  </si>
  <si>
    <t>Kr 60-1:18,5 B</t>
  </si>
  <si>
    <t>Kr 60-1200/oo-1:11,515-H</t>
  </si>
  <si>
    <t>Kr 60-1200/oo-1:11,515_B</t>
  </si>
  <si>
    <t>Vollauslastung der Wagen:</t>
  </si>
  <si>
    <t>Transportgut</t>
  </si>
  <si>
    <t>Belad. mit max. St Schwellen</t>
  </si>
  <si>
    <t>Belad. mit max. t Joche</t>
  </si>
  <si>
    <t>Stahl</t>
  </si>
  <si>
    <t>H</t>
  </si>
  <si>
    <t>B 55</t>
  </si>
  <si>
    <t>B 58</t>
  </si>
  <si>
    <t>B 70</t>
  </si>
  <si>
    <t>H S49</t>
  </si>
  <si>
    <t>H S54</t>
  </si>
  <si>
    <t>H UIC</t>
  </si>
  <si>
    <t>B S49</t>
  </si>
  <si>
    <t>B S54</t>
  </si>
  <si>
    <t>B UIC</t>
  </si>
  <si>
    <t>2-Achsige Wagen</t>
  </si>
  <si>
    <t>B 70/B 90</t>
  </si>
  <si>
    <t>4-Achsige Wagen</t>
  </si>
  <si>
    <t>Wagenbelad. 1-lagig</t>
  </si>
  <si>
    <t>Wagenbelad. 2-lagig</t>
  </si>
  <si>
    <t>Wagenbelad. 3-lagig</t>
  </si>
  <si>
    <t>Wagenbelad. 4-lagig</t>
  </si>
  <si>
    <t>Gewicht/Joch (12 m)</t>
  </si>
  <si>
    <t>Gewicht/Joch (15 m)</t>
  </si>
  <si>
    <t>Gewicht/m Joch</t>
  </si>
  <si>
    <t>tatsächl. Belad.-gew.</t>
  </si>
  <si>
    <t xml:space="preserve">nur zur internen Berechnung: </t>
  </si>
  <si>
    <t>Gewichte:</t>
  </si>
  <si>
    <t>Stahlswe:</t>
  </si>
  <si>
    <t xml:space="preserve"> kg/St</t>
  </si>
  <si>
    <t>Holzjoch S 49:</t>
  </si>
  <si>
    <t>kg/m</t>
  </si>
  <si>
    <t>B55-Joch S49</t>
  </si>
  <si>
    <t>B70-Joch S49</t>
  </si>
  <si>
    <t>Holzswe:</t>
  </si>
  <si>
    <t>Holzjoch S 54:</t>
  </si>
  <si>
    <t>B55-Joch S54</t>
  </si>
  <si>
    <t>B70-Joch S54</t>
  </si>
  <si>
    <t>Holzjoch UIC:</t>
  </si>
  <si>
    <t>B55-Joch UIC</t>
  </si>
  <si>
    <t>B70-Joch UIC</t>
  </si>
  <si>
    <t>B58-Joch S49</t>
  </si>
  <si>
    <t>B 90</t>
  </si>
  <si>
    <t>B58-Joch S54</t>
  </si>
  <si>
    <t>HH</t>
  </si>
  <si>
    <t>B58-Joch UIC</t>
  </si>
  <si>
    <t>Aushubberechnung:</t>
  </si>
  <si>
    <t>(Angaben zur Berücksichtigung des Schwellenfachvolumens)  /  Alle Angaben in (m)</t>
  </si>
  <si>
    <t>h=</t>
  </si>
  <si>
    <t>Überhöhung:</t>
  </si>
  <si>
    <t>Ü = 0</t>
  </si>
  <si>
    <t>Entwässerung:</t>
  </si>
  <si>
    <t>d=0,60 m</t>
  </si>
  <si>
    <t>Holz</t>
  </si>
  <si>
    <t>Ü = 20</t>
  </si>
  <si>
    <t>d=0,80 m</t>
  </si>
  <si>
    <t>B58</t>
  </si>
  <si>
    <t>Ü = 40</t>
  </si>
  <si>
    <t>d=1,00 m</t>
  </si>
  <si>
    <t>B70</t>
  </si>
  <si>
    <t>Ü = 60</t>
  </si>
  <si>
    <t>B90</t>
  </si>
  <si>
    <t>Ü = 80</t>
  </si>
  <si>
    <t>W-Swe</t>
  </si>
  <si>
    <t>Ü =100</t>
  </si>
  <si>
    <t>Weichengewichte:</t>
  </si>
  <si>
    <t>Ü =120</t>
  </si>
  <si>
    <t>Ü =160</t>
  </si>
  <si>
    <t>Weichen</t>
  </si>
  <si>
    <t>Flächenangaben</t>
  </si>
  <si>
    <t>Gewicht in (t) inkl. Endteil</t>
  </si>
  <si>
    <t>Länge in (m)</t>
  </si>
  <si>
    <t>Summe</t>
  </si>
  <si>
    <t>Grundform</t>
  </si>
  <si>
    <t>Gestänge</t>
  </si>
  <si>
    <t>Kleineisen+Rp</t>
  </si>
  <si>
    <t>Schwellen</t>
  </si>
  <si>
    <t>geom. Länge</t>
  </si>
  <si>
    <t>Leistungslänge</t>
  </si>
  <si>
    <t>Gew.</t>
  </si>
  <si>
    <t>Sw-art</t>
  </si>
  <si>
    <t>Lds ab Hz</t>
  </si>
  <si>
    <t>F-Zuordnung</t>
  </si>
  <si>
    <t>N</t>
  </si>
  <si>
    <t xml:space="preserve">       Be / Br ?!?</t>
  </si>
  <si>
    <t>S 49</t>
  </si>
  <si>
    <t>Gl. vor WA</t>
  </si>
  <si>
    <t>Hf</t>
  </si>
  <si>
    <t>Bettungserneuerung</t>
  </si>
  <si>
    <t>S 54</t>
  </si>
  <si>
    <t>Weiche  (WA - WE)</t>
  </si>
  <si>
    <t>20 cm Schotter v. Kopf</t>
  </si>
  <si>
    <t>Hs</t>
  </si>
  <si>
    <t>Bettungsreinigung</t>
  </si>
  <si>
    <t>UIC 60</t>
  </si>
  <si>
    <t>Abzweig</t>
  </si>
  <si>
    <t>30 cm Schotter v. Kopf</t>
  </si>
  <si>
    <t>K</t>
  </si>
  <si>
    <t>Fx</t>
  </si>
  <si>
    <t>Stammgl.</t>
  </si>
  <si>
    <t>40 cm Schotter v. Kopf</t>
  </si>
  <si>
    <t>Ks</t>
  </si>
  <si>
    <t>eingleisig</t>
  </si>
  <si>
    <t>Vorbau</t>
  </si>
  <si>
    <t>Übergang</t>
  </si>
  <si>
    <t>Ü</t>
  </si>
  <si>
    <t>50 cm Schotter v. Kopf</t>
  </si>
  <si>
    <t>W</t>
  </si>
  <si>
    <t>mehrgleisig</t>
  </si>
  <si>
    <t>Rückbau</t>
  </si>
  <si>
    <t>Lastgr.</t>
  </si>
  <si>
    <t>Eigengew.</t>
  </si>
  <si>
    <t>Lüp</t>
  </si>
  <si>
    <t>Besonderheiten</t>
  </si>
  <si>
    <t>Bemerkungen</t>
  </si>
  <si>
    <t>Achsen</t>
  </si>
  <si>
    <t>Swe</t>
  </si>
  <si>
    <t>Art</t>
  </si>
  <si>
    <t>Lok, Aggregat, Bediener....</t>
  </si>
  <si>
    <t>z.B. für welche Umbauart...</t>
  </si>
  <si>
    <t>Facns BA 141 (269´er)</t>
  </si>
  <si>
    <t>Schotter</t>
  </si>
  <si>
    <t>Aggregat,Bediener</t>
  </si>
  <si>
    <t>Nur mit Nachbargleis</t>
  </si>
  <si>
    <t>Fc 089</t>
  </si>
  <si>
    <t>Fans 126</t>
  </si>
  <si>
    <t>Lok ab V218, Bediener</t>
  </si>
  <si>
    <t>Druckluft</t>
  </si>
  <si>
    <t>Fans 128</t>
  </si>
  <si>
    <t>E-Aggregat an der Achse</t>
  </si>
  <si>
    <t>Facs 140</t>
  </si>
  <si>
    <t>Fac 125</t>
  </si>
  <si>
    <t>Facns 133</t>
  </si>
  <si>
    <t>MFS 40</t>
  </si>
  <si>
    <t>MFS 100</t>
  </si>
  <si>
    <t>Kls 442-443</t>
  </si>
  <si>
    <t>As/Sonst</t>
  </si>
  <si>
    <t>Ks 446-447</t>
  </si>
  <si>
    <t>Rs</t>
  </si>
  <si>
    <t>S/Swe</t>
  </si>
  <si>
    <t>Res 638</t>
  </si>
  <si>
    <t>Res 675-678 mit Seit-b.</t>
  </si>
  <si>
    <t>S/Swe/Schott.</t>
  </si>
  <si>
    <t>Samms</t>
  </si>
  <si>
    <t>mit Seitenborden</t>
  </si>
  <si>
    <t>Slmmps 460</t>
  </si>
  <si>
    <t>Swe/Joche</t>
  </si>
  <si>
    <t>mit Überfahrschienen</t>
  </si>
  <si>
    <t>Einsatz für Niemag, PKJ</t>
  </si>
  <si>
    <t>Slps 462</t>
  </si>
  <si>
    <t>Einsatz für UH, UM, PKJ</t>
  </si>
  <si>
    <t>Slps 463</t>
  </si>
  <si>
    <t>Slps 464</t>
  </si>
  <si>
    <t>Slps 465</t>
  </si>
  <si>
    <t>ohne Überfahrschienen</t>
  </si>
  <si>
    <t>Slps 466</t>
  </si>
  <si>
    <t>Einsatz für SUM, SMD 80, PKJ</t>
  </si>
  <si>
    <t>Sattelzug</t>
  </si>
  <si>
    <t>Dreiachser</t>
  </si>
  <si>
    <t>Dreiachser + Hänger</t>
  </si>
  <si>
    <t>Zweiachser 7,5 T.</t>
  </si>
  <si>
    <t>Zweiachser 2,5 T.</t>
  </si>
  <si>
    <t>Containermulde 6 m³</t>
  </si>
  <si>
    <t>Containermulde 9,5 m³</t>
  </si>
  <si>
    <t>Containermulde 12 m³</t>
  </si>
  <si>
    <t>Tieflader</t>
  </si>
  <si>
    <t>Selbstlader</t>
  </si>
  <si>
    <t>Leer3</t>
  </si>
  <si>
    <t>Leer4</t>
  </si>
  <si>
    <t>Maße</t>
  </si>
  <si>
    <t>Rohdichte</t>
  </si>
  <si>
    <t>Gewicht</t>
  </si>
  <si>
    <t>Einb.-höhe</t>
  </si>
  <si>
    <t>Strail (IP)</t>
  </si>
  <si>
    <t>1,435 x 0,60</t>
  </si>
  <si>
    <t>Strail (AP)</t>
  </si>
  <si>
    <t>0,6 x 1,20</t>
  </si>
  <si>
    <t>Bodan (IP)</t>
  </si>
  <si>
    <t>Bodan (AP)</t>
  </si>
  <si>
    <t>Stelcon</t>
  </si>
  <si>
    <t>ATDS 0/11</t>
  </si>
  <si>
    <t>ATS 0/22</t>
  </si>
  <si>
    <t>ATS 0/16</t>
  </si>
  <si>
    <t>AFB 0/8</t>
  </si>
  <si>
    <t>AFB 0/5</t>
  </si>
  <si>
    <t>Macadam</t>
  </si>
  <si>
    <t>Diepholz</t>
  </si>
  <si>
    <t>Höhe</t>
  </si>
  <si>
    <t>Schweißgüte:</t>
  </si>
  <si>
    <t>Ortsbezeichnung</t>
  </si>
  <si>
    <t>LST</t>
  </si>
  <si>
    <t>S49</t>
  </si>
  <si>
    <t>Walzzeichen</t>
  </si>
  <si>
    <t>Güte</t>
  </si>
  <si>
    <t>Zunge</t>
  </si>
  <si>
    <t>Arcor</t>
  </si>
  <si>
    <t>S54</t>
  </si>
  <si>
    <t>ohne</t>
  </si>
  <si>
    <t>680 - 830 N/mm²</t>
  </si>
  <si>
    <t>Backenschiene</t>
  </si>
  <si>
    <t>Telecom</t>
  </si>
  <si>
    <t>UIC60</t>
  </si>
  <si>
    <t>kurz - lang</t>
  </si>
  <si>
    <t>900 A</t>
  </si>
  <si>
    <t>880 - 1030 N/mm²</t>
  </si>
  <si>
    <t>RWE</t>
  </si>
  <si>
    <t>3 x lang</t>
  </si>
  <si>
    <t>900 B</t>
  </si>
  <si>
    <t>Radlenker</t>
  </si>
  <si>
    <t>Stadtwerke</t>
  </si>
  <si>
    <t>lang - HH</t>
  </si>
  <si>
    <t>1080 N/mm²</t>
  </si>
  <si>
    <t>Fahrschiene</t>
  </si>
  <si>
    <t>Ü=  0 mm</t>
  </si>
  <si>
    <t>Oberbaustoffe:</t>
  </si>
  <si>
    <t>Maschinen:</t>
  </si>
  <si>
    <t>Fx -&gt; S 49</t>
  </si>
  <si>
    <t>Ü=  5 mm</t>
  </si>
  <si>
    <t>S 49 -&gt; S 54</t>
  </si>
  <si>
    <t>Ü=10 mm</t>
  </si>
  <si>
    <t>Neuschotter</t>
  </si>
  <si>
    <t>ZWB 1604 K</t>
  </si>
  <si>
    <t>S 54 -&gt; UIC 60</t>
  </si>
  <si>
    <t>Ü=15 mm</t>
  </si>
  <si>
    <t>Recyclingschotter</t>
  </si>
  <si>
    <t>Mobilbagger</t>
  </si>
  <si>
    <t>Fx -&gt; S 49 -&gt; S 54</t>
  </si>
  <si>
    <t>Ü=20 mm</t>
  </si>
  <si>
    <t>Pss-Kies (KG1)</t>
  </si>
  <si>
    <t>Radlader AS 15</t>
  </si>
  <si>
    <t>S 49 -&gt; S 54 -&gt; UIC 60</t>
  </si>
  <si>
    <t>Ü=25 mm</t>
  </si>
  <si>
    <t>Pss-Kies (KG2)</t>
  </si>
  <si>
    <t>Radlader AS 18</t>
  </si>
  <si>
    <t>S 49 -&gt; UIC 60</t>
  </si>
  <si>
    <t>Ü=30 mm</t>
  </si>
  <si>
    <t>FSS-Kies</t>
  </si>
  <si>
    <t>MPR-Gerät</t>
  </si>
  <si>
    <t>Fx -&gt; S 54</t>
  </si>
  <si>
    <t>Ü=35 mm</t>
  </si>
  <si>
    <t>Filterkies</t>
  </si>
  <si>
    <t>Stopfaggregat</t>
  </si>
  <si>
    <t>Ü=40 mm</t>
  </si>
  <si>
    <t>Splitt</t>
  </si>
  <si>
    <t>Swe-wechselger.</t>
  </si>
  <si>
    <t>Ü=45 mm</t>
  </si>
  <si>
    <t>Bamowag</t>
  </si>
  <si>
    <t>Ü=50 mm</t>
  </si>
  <si>
    <t>Baulok</t>
  </si>
  <si>
    <t>Ü=55 mm</t>
  </si>
  <si>
    <t>Skl</t>
  </si>
  <si>
    <t>Ü=60 mm</t>
  </si>
  <si>
    <t>Wärme-Skl</t>
  </si>
  <si>
    <t>Ü=65 mm</t>
  </si>
  <si>
    <t>Asphaltaufbruch</t>
  </si>
  <si>
    <t>Wärmeröhre</t>
  </si>
  <si>
    <t>Ü=70 mm</t>
  </si>
  <si>
    <t>Schwellen (H)</t>
  </si>
  <si>
    <t>Sk 125 MP</t>
  </si>
  <si>
    <t>Ü=75 mm</t>
  </si>
  <si>
    <t>Schwellen (gehobelt)</t>
  </si>
  <si>
    <t>Sk 32 MP</t>
  </si>
  <si>
    <t>Ü=80 mm</t>
  </si>
  <si>
    <t>Schwellen (B)</t>
  </si>
  <si>
    <t>Sk 15 MP</t>
  </si>
  <si>
    <t>Ü=85 mm</t>
  </si>
  <si>
    <t>Schwellen (ST)</t>
  </si>
  <si>
    <t>E-M-Sat</t>
  </si>
  <si>
    <t>Ü=90 mm</t>
  </si>
  <si>
    <t>Schiene S 49</t>
  </si>
  <si>
    <t>GSM  09 / SSP</t>
  </si>
  <si>
    <t>Ü=95 mm</t>
  </si>
  <si>
    <t>Schiene S 54</t>
  </si>
  <si>
    <t>GSM  08 / SSP</t>
  </si>
  <si>
    <t>Ü=100 mm</t>
  </si>
  <si>
    <t>Schiene UIC 60</t>
  </si>
  <si>
    <t>WSM 4 S / SSP</t>
  </si>
  <si>
    <t>Ü=105 mm</t>
  </si>
  <si>
    <t>Kleineisen (K-Bau)</t>
  </si>
  <si>
    <t>SSP</t>
  </si>
  <si>
    <t>Ü=110 mm</t>
  </si>
  <si>
    <t>Kleineisen (W-Bau)</t>
  </si>
  <si>
    <t>Lkw 3,5 t</t>
  </si>
  <si>
    <t>Ü=115 mm</t>
  </si>
  <si>
    <t>Lkw 7,5 t</t>
  </si>
  <si>
    <t>Ü=120 mm</t>
  </si>
  <si>
    <t>3-Achser</t>
  </si>
  <si>
    <t>Ü=125 mm</t>
  </si>
  <si>
    <t>Bodan</t>
  </si>
  <si>
    <t>Sattel</t>
  </si>
  <si>
    <t>Ü=130 mm</t>
  </si>
  <si>
    <t>Zubehör Bodan</t>
  </si>
  <si>
    <t>Container (7,5 m³)</t>
  </si>
  <si>
    <t>Ü=135 mm</t>
  </si>
  <si>
    <t>Moselland</t>
  </si>
  <si>
    <t>Ü=140 mm</t>
  </si>
  <si>
    <t>Abwasserrohre (KG)</t>
  </si>
  <si>
    <t>Drainagerohre (PE)</t>
  </si>
  <si>
    <t>Entwässerungsleit.</t>
  </si>
  <si>
    <t>Flies</t>
  </si>
  <si>
    <t>Weichenform</t>
  </si>
  <si>
    <t>Weichenabschnitt</t>
  </si>
  <si>
    <t>Länge [m]</t>
  </si>
  <si>
    <t>Breite [m]</t>
  </si>
  <si>
    <t>Fläche [m²]</t>
  </si>
  <si>
    <t>L-ET</t>
  </si>
  <si>
    <t>L-Zgv</t>
  </si>
  <si>
    <t>L-Mt</t>
  </si>
  <si>
    <t>L-Hz</t>
  </si>
  <si>
    <t>L-Dhz</t>
  </si>
  <si>
    <t>B-ET</t>
  </si>
  <si>
    <t>B-Zgv</t>
  </si>
  <si>
    <t>B-Mt</t>
  </si>
  <si>
    <t>B-Hz</t>
  </si>
  <si>
    <t>B-Dhz</t>
  </si>
  <si>
    <t xml:space="preserve">F-Zgv    </t>
  </si>
  <si>
    <t>F-Mt</t>
  </si>
  <si>
    <t>F-Hz</t>
  </si>
  <si>
    <t>F-Dhz</t>
  </si>
  <si>
    <t>F-ET</t>
  </si>
  <si>
    <t>Ges.F m. ET</t>
  </si>
  <si>
    <t>Ges.F o. ET</t>
  </si>
  <si>
    <t>EW-49-190 1:6,6 bzw 7,5</t>
  </si>
  <si>
    <t xml:space="preserve">Weiche m. ET </t>
  </si>
  <si>
    <t xml:space="preserve">Weiche o. ET </t>
  </si>
  <si>
    <t>EW-49-190 1:9</t>
  </si>
  <si>
    <t>Sym-49-215-1:4,8</t>
  </si>
  <si>
    <t>EW-49-300-1:9</t>
  </si>
  <si>
    <t>EW-49-300-1:14</t>
  </si>
  <si>
    <t>EW-49-500-1:12</t>
  </si>
  <si>
    <t>EW-49-500-1:14</t>
  </si>
  <si>
    <t>EW-49-760-1:14</t>
  </si>
  <si>
    <t>EW-49-760-1:18,5</t>
  </si>
  <si>
    <t>EW-49-1200-1:18,5</t>
  </si>
  <si>
    <t>Kr-49-1:18,5</t>
  </si>
  <si>
    <t>Mittelstück</t>
  </si>
  <si>
    <t>Doppelherzstück</t>
  </si>
  <si>
    <t>Kr-49-1200 / 1:11,515</t>
  </si>
  <si>
    <t>Endteil - 1:15,047</t>
  </si>
  <si>
    <t>Herzstück - 1:15,04</t>
  </si>
  <si>
    <t>Herzstück - 1:9,63</t>
  </si>
  <si>
    <t>Endteil - 1:9,63</t>
  </si>
  <si>
    <t>Kr - 49 - 1:2,9</t>
  </si>
  <si>
    <t>Endteil I</t>
  </si>
  <si>
    <t>Herzstück I</t>
  </si>
  <si>
    <t>Herzstück II</t>
  </si>
  <si>
    <t>Endteil II</t>
  </si>
  <si>
    <t>Kr - 49 - 1:3,224</t>
  </si>
  <si>
    <t>Kr - 49 - 1:3,683</t>
  </si>
  <si>
    <t>Kr - 49 - 1:4,444</t>
  </si>
  <si>
    <t>Kr - 1:6,66</t>
  </si>
  <si>
    <t>Kr 49 - 1:7,5</t>
  </si>
  <si>
    <t>Kr - 49 - 1:9</t>
  </si>
  <si>
    <t>Kr - 49 - 1:14</t>
  </si>
  <si>
    <t>EKW - 49 - 190 - 1:9</t>
  </si>
  <si>
    <t>DH mit ZV</t>
  </si>
  <si>
    <t>EKW - 49 - 190 1:9 u. 1:7,5</t>
  </si>
  <si>
    <t>Endteil - 1:7,5</t>
  </si>
  <si>
    <t>Herzstück 1:7,5</t>
  </si>
  <si>
    <t>Herzstück - 1:9</t>
  </si>
  <si>
    <t>Endteil - 1:9</t>
  </si>
  <si>
    <t xml:space="preserve">EKW - 49 - 190 / 1:7,5 u. 1:7,5 </t>
  </si>
  <si>
    <t>Endteil 1:7,5</t>
  </si>
  <si>
    <t>(od. 1:6,6, 1:6,3)</t>
  </si>
  <si>
    <t>EKW - 49 - 500 1:9</t>
  </si>
  <si>
    <t>Zungenvorrichtung</t>
  </si>
  <si>
    <t>Mehrt. Herzstück</t>
  </si>
  <si>
    <t>DKW - 49 - 190 1:9</t>
  </si>
  <si>
    <t>DKW - 49 - 190 1:9 u. 1:7,5</t>
  </si>
  <si>
    <t>Herzstück 1:9</t>
  </si>
  <si>
    <t xml:space="preserve">DKW - 49 - 190 / 1:7,5 u. 1:7,5 </t>
  </si>
  <si>
    <t>DKW - 49 - 500 1:9</t>
  </si>
  <si>
    <t>EW -54 - 190 1:7,5</t>
  </si>
  <si>
    <t>EW -54 - 190 1:9</t>
  </si>
  <si>
    <t>Sym - 54 - 215 - 1:4,8</t>
  </si>
  <si>
    <t>EW - 54 - 300 1:9</t>
  </si>
  <si>
    <t>EW - 54 - 300 1:9 / 1:9,4</t>
  </si>
  <si>
    <t>EW - 54 - 300 1:14</t>
  </si>
  <si>
    <t>EW - 54 - 500 1:12</t>
  </si>
  <si>
    <t>EW - 54 - 500 1:14</t>
  </si>
  <si>
    <t>EW - 54 - 760 1:14</t>
  </si>
  <si>
    <t>EW - 54 - 760 1:18,5</t>
  </si>
  <si>
    <t>EW - 54 - 760 1:14 / 1:15</t>
  </si>
  <si>
    <t>EW - 54 - 1200 1:18,5</t>
  </si>
  <si>
    <t>EW - 54 - 1200 1:18,5 / 1:19,277</t>
  </si>
  <si>
    <t>Kr - 54 - 1:2,9</t>
  </si>
  <si>
    <t>Kr - 54 - 1:3,224</t>
  </si>
  <si>
    <t>Kr - 54 - 1:3,683</t>
  </si>
  <si>
    <t>Kr - 54 - 1:4,444</t>
  </si>
  <si>
    <t>Kr - 54 - 1:6,694</t>
  </si>
  <si>
    <t xml:space="preserve">Endteil </t>
  </si>
  <si>
    <t xml:space="preserve">Herzstück </t>
  </si>
  <si>
    <t>Kr - 54 - 1:7,5</t>
  </si>
  <si>
    <t>Kr - 54 - 1:9</t>
  </si>
  <si>
    <t>Kr - 54 - 1200 / 1:11,515</t>
  </si>
  <si>
    <t>Endteil  - 1:15,047</t>
  </si>
  <si>
    <t>Herzstück  - 1:15,04</t>
  </si>
  <si>
    <t>Herzstück  - 1:9,63</t>
  </si>
  <si>
    <t>Endteil  - 1:9,63</t>
  </si>
  <si>
    <t>Kr - 54 - 1:14</t>
  </si>
  <si>
    <t>Kr - 54 - 1:18,5</t>
  </si>
  <si>
    <t>EKW - 54 - 190 1:9 / 1:9</t>
  </si>
  <si>
    <t>EKW - 54 - 190 1:9 / 1:7,5</t>
  </si>
  <si>
    <t>EKW - 54 - 190 1:7,5 / 1:7,5</t>
  </si>
  <si>
    <t>DKW - 54 - 190 1:9 / 1:9</t>
  </si>
  <si>
    <t>DKW - 54 - 190 1:9 / 1:7,5</t>
  </si>
  <si>
    <t>Herzstück - 1:7,5</t>
  </si>
  <si>
    <t>DKW - 54 - 190 1:7,5 / 1:7,5</t>
  </si>
  <si>
    <t>EKW - 54 - 500 1:9 / 1:9</t>
  </si>
  <si>
    <t>DKW - 54 - 500 1:9 / 1:9</t>
  </si>
  <si>
    <t>EW - 60 - 300 1:9</t>
  </si>
  <si>
    <t>EW - 60 - 300 1:14</t>
  </si>
  <si>
    <t>EW - 60 - 500 1:12</t>
  </si>
  <si>
    <t>EW - 60 - 500 1:14</t>
  </si>
  <si>
    <t>EW - 60 - 760 1:14</t>
  </si>
  <si>
    <t>EW - 60 - 760 1:18,5</t>
  </si>
  <si>
    <t>EW - 60 - 760 1:18,5 fb</t>
  </si>
  <si>
    <t>EW - 60 - 1200 1:18,5</t>
  </si>
  <si>
    <t>EW - 60 - 1200 1:18,5 fb</t>
  </si>
  <si>
    <t>EW - 60 - 2500 1:26,5 fb</t>
  </si>
  <si>
    <t>Mittelteil 1</t>
  </si>
  <si>
    <t>Mittelteil 2</t>
  </si>
  <si>
    <t>EW - 60 - 6000 / 3700 1:32,5 fb</t>
  </si>
  <si>
    <t>EW - 60 - 6000 / 7000 1:42 fb</t>
  </si>
  <si>
    <t>KR - 60 - 1:18,5</t>
  </si>
  <si>
    <t>Kr - 1200 / 00 - 1:11,515</t>
  </si>
  <si>
    <t>Herzstück - 1: 15,04</t>
  </si>
  <si>
    <t>Kr - 60 -1:14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</si>
</sst>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8" formatCode="0.000"/>
    <numFmt numFmtId="169" formatCode="0.00;[Red]0.00"/>
  </numFmts>
  <fonts count="28" x14ac:knownFonts="1">
    <font>
      <sz val="10"/>
      <name val="Tahoma"/>
    </font>
    <font>
      <sz val="10"/>
      <color indexed="8"/>
      <name val="Tahoma"/>
    </font>
    <font>
      <sz val="10"/>
      <color indexed="8"/>
      <name val="Arial"/>
    </font>
    <font>
      <sz val="8"/>
      <color indexed="8"/>
      <name val="Arial"/>
    </font>
    <font>
      <u/>
      <sz val="10"/>
      <color indexed="8"/>
      <name val="Arial"/>
      <family val="2"/>
    </font>
    <font>
      <sz val="10"/>
      <color indexed="22"/>
      <name val="Arial"/>
      <family val="2"/>
    </font>
    <font>
      <sz val="8"/>
      <color indexed="8"/>
      <name val="Arial"/>
      <family val="2"/>
    </font>
    <font>
      <sz val="8"/>
      <color indexed="10"/>
      <name val="Arial"/>
      <family val="2"/>
    </font>
    <font>
      <sz val="10"/>
      <color indexed="9"/>
      <name val="Arial"/>
      <family val="2"/>
    </font>
    <font>
      <u/>
      <sz val="8"/>
      <color indexed="8"/>
      <name val="Arial"/>
      <family val="2"/>
    </font>
    <font>
      <sz val="7"/>
      <color indexed="8"/>
      <name val="Arial"/>
    </font>
    <font>
      <sz val="7"/>
      <color indexed="8"/>
      <name val="Arial"/>
      <family val="2"/>
    </font>
    <font>
      <sz val="6"/>
      <color indexed="8"/>
      <name val="Arial"/>
      <family val="2"/>
    </font>
    <font>
      <sz val="8"/>
      <color indexed="9"/>
      <name val="Arial"/>
      <family val="2"/>
    </font>
    <font>
      <sz val="10"/>
      <color indexed="8"/>
      <name val="Arial"/>
      <family val="2"/>
    </font>
    <font>
      <u/>
      <sz val="8"/>
      <color indexed="8"/>
      <name val="Arial"/>
    </font>
    <font>
      <sz val="8"/>
      <color indexed="10"/>
      <name val="Arial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  <font>
      <b/>
      <sz val="10"/>
      <color indexed="10"/>
      <name val="Arial"/>
      <family val="2"/>
    </font>
    <font>
      <sz val="8"/>
      <color indexed="9"/>
      <name val="Arial"/>
    </font>
    <font>
      <sz val="10"/>
      <color indexed="9"/>
      <name val="Arial"/>
    </font>
    <font>
      <sz val="10"/>
      <color indexed="10"/>
      <name val="Arial"/>
    </font>
    <font>
      <b/>
      <u/>
      <sz val="10"/>
      <color indexed="8"/>
      <name val="Arial"/>
      <family val="2"/>
    </font>
    <font>
      <b/>
      <sz val="8"/>
      <color indexed="10"/>
      <name val="Arial"/>
      <family val="2"/>
    </font>
    <font>
      <sz val="8"/>
      <color indexed="8"/>
      <name val="Tahoma"/>
    </font>
    <font>
      <u/>
      <sz val="8"/>
      <color indexed="8"/>
      <name val="Tahoma"/>
    </font>
    <font>
      <sz val="10"/>
      <color indexed="9"/>
      <name val="Tahoma"/>
    </font>
  </fonts>
  <fills count="12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61">
    <xf numFmtId="0" fontId="0" fillId="0" borderId="0" xfId="0"/>
    <xf numFmtId="0" fontId="4" fillId="0" borderId="0" xfId="0" applyFont="1"/>
    <xf numFmtId="0" fontId="5" fillId="0" borderId="0" xfId="0" applyFont="1"/>
    <xf numFmtId="0" fontId="3" fillId="0" borderId="0" xfId="0" applyFont="1" applyAlignment="1">
      <alignment horizontal="right"/>
    </xf>
    <xf numFmtId="0" fontId="6" fillId="0" borderId="1" xfId="0" applyFont="1" applyBorder="1" applyAlignment="1">
      <alignment horizontal="left"/>
    </xf>
    <xf numFmtId="0" fontId="6" fillId="0" borderId="2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6" fillId="0" borderId="0" xfId="0" applyFont="1"/>
    <xf numFmtId="0" fontId="6" fillId="0" borderId="4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8" xfId="0" applyFont="1" applyBorder="1" applyAlignment="1">
      <alignment horizontal="left"/>
    </xf>
    <xf numFmtId="0" fontId="6" fillId="0" borderId="3" xfId="0" applyFont="1" applyBorder="1"/>
    <xf numFmtId="0" fontId="7" fillId="2" borderId="4" xfId="0" applyFont="1" applyFill="1" applyBorder="1"/>
    <xf numFmtId="0" fontId="7" fillId="2" borderId="5" xfId="0" applyFont="1" applyFill="1" applyBorder="1"/>
    <xf numFmtId="0" fontId="7" fillId="2" borderId="6" xfId="0" applyFont="1" applyFill="1" applyBorder="1" applyAlignment="1">
      <alignment horizontal="right"/>
    </xf>
    <xf numFmtId="0" fontId="8" fillId="0" borderId="0" xfId="0" applyFont="1"/>
    <xf numFmtId="0" fontId="9" fillId="0" borderId="0" xfId="0" applyFont="1"/>
    <xf numFmtId="0" fontId="6" fillId="0" borderId="9" xfId="0" applyFont="1" applyBorder="1"/>
    <xf numFmtId="0" fontId="3" fillId="0" borderId="0" xfId="0" applyFont="1"/>
    <xf numFmtId="2" fontId="6" fillId="0" borderId="9" xfId="0" applyNumberFormat="1" applyFont="1" applyBorder="1" applyAlignment="1">
      <alignment horizontal="right"/>
    </xf>
    <xf numFmtId="0" fontId="6" fillId="0" borderId="0" xfId="0" applyFont="1" applyAlignment="1">
      <alignment horizontal="right"/>
    </xf>
    <xf numFmtId="0" fontId="10" fillId="0" borderId="0" xfId="0" applyFont="1"/>
    <xf numFmtId="2" fontId="6" fillId="0" borderId="7" xfId="0" applyNumberFormat="1" applyFont="1" applyBorder="1" applyAlignment="1">
      <alignment horizontal="right"/>
    </xf>
    <xf numFmtId="0" fontId="7" fillId="0" borderId="0" xfId="0" applyFont="1" applyAlignment="1">
      <alignment horizontal="center"/>
    </xf>
    <xf numFmtId="0" fontId="6" fillId="0" borderId="2" xfId="0" applyFont="1" applyBorder="1"/>
    <xf numFmtId="2" fontId="6" fillId="0" borderId="1" xfId="0" applyNumberFormat="1" applyFont="1" applyBorder="1" applyAlignment="1">
      <alignment horizontal="right"/>
    </xf>
    <xf numFmtId="0" fontId="2" fillId="0" borderId="2" xfId="0" applyFont="1" applyBorder="1"/>
    <xf numFmtId="0" fontId="6" fillId="0" borderId="10" xfId="0" applyFont="1" applyBorder="1"/>
    <xf numFmtId="0" fontId="2" fillId="0" borderId="10" xfId="0" applyFont="1" applyBorder="1"/>
    <xf numFmtId="0" fontId="6" fillId="0" borderId="1" xfId="0" applyFont="1" applyBorder="1"/>
    <xf numFmtId="0" fontId="2" fillId="0" borderId="3" xfId="0" applyFont="1" applyBorder="1"/>
    <xf numFmtId="0" fontId="6" fillId="0" borderId="11" xfId="0" applyFont="1" applyBorder="1"/>
    <xf numFmtId="0" fontId="2" fillId="0" borderId="11" xfId="0" applyFont="1" applyBorder="1"/>
    <xf numFmtId="0" fontId="6" fillId="0" borderId="4" xfId="0" applyFont="1" applyBorder="1"/>
    <xf numFmtId="0" fontId="2" fillId="0" borderId="5" xfId="0" applyFont="1" applyBorder="1"/>
    <xf numFmtId="0" fontId="2" fillId="0" borderId="6" xfId="0" applyFont="1" applyBorder="1"/>
    <xf numFmtId="2" fontId="3" fillId="0" borderId="0" xfId="0" applyNumberFormat="1" applyFont="1" applyAlignment="1">
      <alignment horizontal="right"/>
    </xf>
    <xf numFmtId="0" fontId="6" fillId="0" borderId="0" xfId="0" applyFont="1" applyAlignment="1">
      <alignment horizontal="center"/>
    </xf>
    <xf numFmtId="0" fontId="11" fillId="0" borderId="0" xfId="0" applyFont="1"/>
    <xf numFmtId="0" fontId="12" fillId="0" borderId="10" xfId="0" applyFont="1" applyBorder="1" applyAlignment="1">
      <alignment horizontal="center"/>
    </xf>
    <xf numFmtId="0" fontId="12" fillId="0" borderId="11" xfId="0" applyFont="1" applyBorder="1" applyAlignment="1">
      <alignment horizontal="center"/>
    </xf>
    <xf numFmtId="0" fontId="13" fillId="0" borderId="8" xfId="0" applyFont="1" applyBorder="1" applyAlignment="1">
      <alignment horizontal="right"/>
    </xf>
    <xf numFmtId="0" fontId="6" fillId="0" borderId="1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6" fillId="0" borderId="4" xfId="0" applyFont="1" applyBorder="1" applyAlignment="1" applyProtection="1">
      <alignment horizontal="left"/>
      <protection locked="0"/>
    </xf>
    <xf numFmtId="0" fontId="6" fillId="0" borderId="5" xfId="0" applyFont="1" applyBorder="1" applyAlignment="1" applyProtection="1">
      <alignment horizontal="left"/>
      <protection locked="0"/>
    </xf>
    <xf numFmtId="0" fontId="6" fillId="0" borderId="6" xfId="0" applyFont="1" applyBorder="1" applyAlignment="1" applyProtection="1">
      <alignment horizontal="left"/>
      <protection locked="0"/>
    </xf>
    <xf numFmtId="0" fontId="14" fillId="0" borderId="9" xfId="0" applyFont="1" applyBorder="1"/>
    <xf numFmtId="1" fontId="14" fillId="0" borderId="9" xfId="0" applyNumberFormat="1" applyFont="1" applyBorder="1"/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13" fillId="0" borderId="0" xfId="0" applyFont="1"/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2" fontId="6" fillId="0" borderId="0" xfId="0" applyNumberFormat="1" applyFont="1" applyAlignment="1" applyProtection="1">
      <alignment horizontal="right"/>
      <protection locked="0"/>
    </xf>
    <xf numFmtId="0" fontId="6" fillId="0" borderId="0" xfId="0" applyFont="1" applyAlignment="1" applyProtection="1">
      <alignment horizontal="left"/>
      <protection locked="0"/>
    </xf>
    <xf numFmtId="0" fontId="14" fillId="0" borderId="0" xfId="0" applyFont="1"/>
    <xf numFmtId="1" fontId="14" fillId="0" borderId="0" xfId="0" applyNumberFormat="1" applyFont="1"/>
    <xf numFmtId="2" fontId="6" fillId="0" borderId="4" xfId="0" applyNumberFormat="1" applyFont="1" applyBorder="1" applyAlignment="1">
      <alignment horizontal="center"/>
    </xf>
    <xf numFmtId="2" fontId="6" fillId="0" borderId="5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6" fillId="0" borderId="0" xfId="0" applyNumberFormat="1" applyFont="1" applyAlignment="1">
      <alignment horizontal="center"/>
    </xf>
    <xf numFmtId="0" fontId="13" fillId="0" borderId="0" xfId="0" applyFont="1" applyAlignment="1">
      <alignment horizontal="right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2" fontId="7" fillId="0" borderId="0" xfId="0" applyNumberFormat="1" applyFont="1" applyAlignment="1">
      <alignment horizontal="center"/>
    </xf>
    <xf numFmtId="0" fontId="6" fillId="0" borderId="5" xfId="0" applyFont="1" applyBorder="1"/>
    <xf numFmtId="0" fontId="6" fillId="0" borderId="6" xfId="0" applyFont="1" applyBorder="1"/>
    <xf numFmtId="0" fontId="9" fillId="0" borderId="5" xfId="0" applyFont="1" applyBorder="1"/>
    <xf numFmtId="0" fontId="9" fillId="0" borderId="6" xfId="0" applyFont="1" applyBorder="1"/>
    <xf numFmtId="0" fontId="6" fillId="0" borderId="9" xfId="0" applyFont="1" applyBorder="1" applyAlignment="1">
      <alignment horizontal="left"/>
    </xf>
    <xf numFmtId="0" fontId="6" fillId="0" borderId="9" xfId="0" applyFont="1" applyBorder="1" applyAlignment="1">
      <alignment horizontal="center"/>
    </xf>
    <xf numFmtId="2" fontId="6" fillId="0" borderId="0" xfId="0" applyNumberFormat="1" applyFont="1" applyAlignment="1">
      <alignment horizontal="right"/>
    </xf>
    <xf numFmtId="2" fontId="6" fillId="0" borderId="4" xfId="0" applyNumberFormat="1" applyFont="1" applyBorder="1" applyAlignment="1">
      <alignment horizontal="left"/>
    </xf>
    <xf numFmtId="2" fontId="6" fillId="0" borderId="5" xfId="0" applyNumberFormat="1" applyFont="1" applyBorder="1" applyAlignment="1">
      <alignment horizontal="left"/>
    </xf>
    <xf numFmtId="2" fontId="6" fillId="0" borderId="6" xfId="0" applyNumberFormat="1" applyFont="1" applyBorder="1" applyAlignment="1">
      <alignment horizontal="left"/>
    </xf>
    <xf numFmtId="0" fontId="15" fillId="0" borderId="0" xfId="0" applyFont="1"/>
    <xf numFmtId="0" fontId="3" fillId="0" borderId="0" xfId="0" applyFont="1" applyAlignment="1">
      <alignment wrapText="1"/>
    </xf>
    <xf numFmtId="0" fontId="3" fillId="3" borderId="9" xfId="0" applyFont="1" applyFill="1" applyBorder="1" applyAlignment="1">
      <alignment wrapText="1"/>
    </xf>
    <xf numFmtId="168" fontId="3" fillId="4" borderId="6" xfId="0" applyNumberFormat="1" applyFont="1" applyFill="1" applyBorder="1" applyAlignment="1">
      <alignment wrapText="1"/>
    </xf>
    <xf numFmtId="168" fontId="3" fillId="5" borderId="9" xfId="0" applyNumberFormat="1" applyFont="1" applyFill="1" applyBorder="1" applyAlignment="1">
      <alignment wrapText="1"/>
    </xf>
    <xf numFmtId="168" fontId="3" fillId="6" borderId="4" xfId="0" applyNumberFormat="1" applyFont="1" applyFill="1" applyBorder="1" applyAlignment="1">
      <alignment wrapText="1"/>
    </xf>
    <xf numFmtId="168" fontId="3" fillId="4" borderId="9" xfId="0" applyNumberFormat="1" applyFont="1" applyFill="1" applyBorder="1" applyAlignment="1">
      <alignment wrapText="1"/>
    </xf>
    <xf numFmtId="168" fontId="3" fillId="4" borderId="4" xfId="0" applyNumberFormat="1" applyFont="1" applyFill="1" applyBorder="1" applyAlignment="1">
      <alignment wrapText="1"/>
    </xf>
    <xf numFmtId="168" fontId="3" fillId="5" borderId="4" xfId="0" applyNumberFormat="1" applyFont="1" applyFill="1" applyBorder="1" applyAlignment="1">
      <alignment wrapText="1"/>
    </xf>
    <xf numFmtId="168" fontId="3" fillId="3" borderId="9" xfId="0" applyNumberFormat="1" applyFont="1" applyFill="1" applyBorder="1" applyAlignment="1">
      <alignment wrapText="1"/>
    </xf>
    <xf numFmtId="168" fontId="3" fillId="3" borderId="4" xfId="0" applyNumberFormat="1" applyFont="1" applyFill="1" applyBorder="1" applyAlignment="1">
      <alignment wrapText="1"/>
    </xf>
    <xf numFmtId="168" fontId="3" fillId="6" borderId="9" xfId="0" applyNumberFormat="1" applyFont="1" applyFill="1" applyBorder="1" applyAlignment="1">
      <alignment wrapText="1"/>
    </xf>
    <xf numFmtId="0" fontId="2" fillId="0" borderId="0" xfId="0" applyFont="1" applyAlignment="1">
      <alignment wrapText="1"/>
    </xf>
    <xf numFmtId="0" fontId="3" fillId="0" borderId="1" xfId="0" applyFont="1" applyBorder="1"/>
    <xf numFmtId="0" fontId="3" fillId="0" borderId="11" xfId="0" applyFont="1" applyBorder="1"/>
    <xf numFmtId="168" fontId="3" fillId="0" borderId="3" xfId="0" applyNumberFormat="1" applyFont="1" applyBorder="1"/>
    <xf numFmtId="168" fontId="3" fillId="0" borderId="11" xfId="0" applyNumberFormat="1" applyFont="1" applyBorder="1"/>
    <xf numFmtId="168" fontId="3" fillId="0" borderId="1" xfId="0" applyNumberFormat="1" applyFont="1" applyBorder="1"/>
    <xf numFmtId="168" fontId="3" fillId="0" borderId="6" xfId="0" applyNumberFormat="1" applyFont="1" applyBorder="1"/>
    <xf numFmtId="168" fontId="3" fillId="0" borderId="9" xfId="0" applyNumberFormat="1" applyFont="1" applyBorder="1"/>
    <xf numFmtId="168" fontId="3" fillId="0" borderId="4" xfId="0" applyNumberFormat="1" applyFont="1" applyBorder="1"/>
    <xf numFmtId="0" fontId="3" fillId="0" borderId="13" xfId="0" applyFont="1" applyBorder="1"/>
    <xf numFmtId="0" fontId="3" fillId="0" borderId="9" xfId="0" applyFont="1" applyBorder="1"/>
    <xf numFmtId="168" fontId="3" fillId="0" borderId="13" xfId="0" applyNumberFormat="1" applyFont="1" applyBorder="1"/>
    <xf numFmtId="0" fontId="3" fillId="0" borderId="14" xfId="0" applyFont="1" applyBorder="1"/>
    <xf numFmtId="0" fontId="3" fillId="0" borderId="12" xfId="0" applyFont="1" applyBorder="1"/>
    <xf numFmtId="0" fontId="3" fillId="0" borderId="7" xfId="0" applyFont="1" applyBorder="1"/>
    <xf numFmtId="168" fontId="3" fillId="0" borderId="7" xfId="0" applyNumberFormat="1" applyFont="1" applyBorder="1"/>
    <xf numFmtId="0" fontId="3" fillId="0" borderId="8" xfId="0" applyFont="1" applyBorder="1"/>
    <xf numFmtId="168" fontId="3" fillId="0" borderId="0" xfId="0" applyNumberFormat="1" applyFont="1"/>
    <xf numFmtId="168" fontId="3" fillId="0" borderId="8" xfId="0" applyNumberFormat="1" applyFont="1" applyBorder="1"/>
    <xf numFmtId="0" fontId="3" fillId="0" borderId="2" xfId="0" applyFont="1" applyBorder="1"/>
    <xf numFmtId="0" fontId="3" fillId="0" borderId="3" xfId="0" applyFont="1" applyBorder="1"/>
    <xf numFmtId="0" fontId="3" fillId="0" borderId="10" xfId="0" applyFont="1" applyBorder="1"/>
    <xf numFmtId="168" fontId="3" fillId="0" borderId="14" xfId="0" applyNumberFormat="1" applyFont="1" applyBorder="1"/>
    <xf numFmtId="168" fontId="3" fillId="0" borderId="12" xfId="0" applyNumberFormat="1" applyFont="1" applyBorder="1"/>
    <xf numFmtId="168" fontId="3" fillId="0" borderId="10" xfId="0" applyNumberFormat="1" applyFont="1" applyBorder="1"/>
    <xf numFmtId="0" fontId="16" fillId="0" borderId="0" xfId="0" applyFont="1"/>
    <xf numFmtId="0" fontId="3" fillId="0" borderId="15" xfId="0" applyFont="1" applyBorder="1"/>
    <xf numFmtId="0" fontId="2" fillId="2" borderId="4" xfId="0" applyFont="1" applyFill="1" applyBorder="1"/>
    <xf numFmtId="0" fontId="2" fillId="2" borderId="5" xfId="0" applyFont="1" applyFill="1" applyBorder="1"/>
    <xf numFmtId="0" fontId="2" fillId="2" borderId="6" xfId="0" applyFont="1" applyFill="1" applyBorder="1"/>
    <xf numFmtId="0" fontId="17" fillId="3" borderId="12" xfId="0" applyFont="1" applyFill="1" applyBorder="1"/>
    <xf numFmtId="0" fontId="3" fillId="3" borderId="9" xfId="0" applyFont="1" applyFill="1" applyBorder="1"/>
    <xf numFmtId="0" fontId="3" fillId="3" borderId="2" xfId="0" applyFont="1" applyFill="1" applyBorder="1"/>
    <xf numFmtId="0" fontId="3" fillId="3" borderId="3" xfId="0" applyFont="1" applyFill="1" applyBorder="1"/>
    <xf numFmtId="0" fontId="3" fillId="3" borderId="10" xfId="0" applyFont="1" applyFill="1" applyBorder="1"/>
    <xf numFmtId="0" fontId="3" fillId="3" borderId="11" xfId="0" applyFont="1" applyFill="1" applyBorder="1"/>
    <xf numFmtId="0" fontId="17" fillId="4" borderId="4" xfId="0" applyFont="1" applyFill="1" applyBorder="1"/>
    <xf numFmtId="0" fontId="2" fillId="4" borderId="5" xfId="0" applyFont="1" applyFill="1" applyBorder="1"/>
    <xf numFmtId="0" fontId="2" fillId="4" borderId="6" xfId="0" applyFont="1" applyFill="1" applyBorder="1"/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6" fillId="7" borderId="11" xfId="0" applyNumberFormat="1" applyFont="1" applyFill="1" applyBorder="1" applyAlignment="1">
      <alignment horizontal="center"/>
    </xf>
    <xf numFmtId="2" fontId="6" fillId="6" borderId="11" xfId="0" applyNumberFormat="1" applyFont="1" applyFill="1" applyBorder="1" applyAlignment="1">
      <alignment horizontal="center"/>
    </xf>
    <xf numFmtId="2" fontId="6" fillId="0" borderId="11" xfId="0" applyNumberFormat="1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8" xfId="0" applyFont="1" applyBorder="1" applyAlignment="1">
      <alignment horizontal="center"/>
    </xf>
    <xf numFmtId="2" fontId="6" fillId="0" borderId="9" xfId="0" applyNumberFormat="1" applyFont="1" applyBorder="1" applyAlignment="1">
      <alignment horizontal="center"/>
    </xf>
    <xf numFmtId="0" fontId="17" fillId="2" borderId="9" xfId="0" applyFont="1" applyFill="1" applyBorder="1" applyProtection="1">
      <protection locked="0"/>
    </xf>
    <xf numFmtId="0" fontId="6" fillId="0" borderId="4" xfId="0" applyFont="1" applyBorder="1" applyAlignment="1">
      <alignment horizontal="center"/>
    </xf>
    <xf numFmtId="1" fontId="6" fillId="0" borderId="4" xfId="0" applyNumberFormat="1" applyFont="1" applyBorder="1" applyAlignment="1">
      <alignment horizontal="center"/>
    </xf>
    <xf numFmtId="1" fontId="6" fillId="0" borderId="6" xfId="0" applyNumberFormat="1" applyFont="1" applyBorder="1" applyAlignment="1">
      <alignment horizontal="center"/>
    </xf>
    <xf numFmtId="2" fontId="6" fillId="0" borderId="4" xfId="0" applyNumberFormat="1" applyFont="1" applyBorder="1" applyAlignment="1" applyProtection="1">
      <alignment horizontal="right"/>
      <protection locked="0"/>
    </xf>
    <xf numFmtId="2" fontId="6" fillId="0" borderId="6" xfId="0" applyNumberFormat="1" applyFont="1" applyBorder="1" applyAlignment="1" applyProtection="1">
      <alignment horizontal="right"/>
      <protection locked="0"/>
    </xf>
    <xf numFmtId="2" fontId="6" fillId="0" borderId="5" xfId="0" applyNumberFormat="1" applyFont="1" applyBorder="1" applyAlignment="1" applyProtection="1">
      <alignment horizontal="right"/>
      <protection locked="0"/>
    </xf>
    <xf numFmtId="2" fontId="6" fillId="0" borderId="15" xfId="0" applyNumberFormat="1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15" xfId="0" applyFont="1" applyBorder="1" applyAlignment="1" applyProtection="1">
      <alignment horizontal="center"/>
      <protection locked="0"/>
    </xf>
    <xf numFmtId="0" fontId="6" fillId="0" borderId="10" xfId="0" applyFont="1" applyBorder="1" applyAlignment="1">
      <alignment horizontal="center"/>
    </xf>
    <xf numFmtId="0" fontId="6" fillId="0" borderId="7" xfId="0" applyFont="1" applyBorder="1" applyAlignment="1" applyProtection="1">
      <alignment horizontal="center"/>
      <protection locked="0"/>
    </xf>
    <xf numFmtId="2" fontId="6" fillId="6" borderId="9" xfId="0" applyNumberFormat="1" applyFont="1" applyFill="1" applyBorder="1" applyAlignment="1">
      <alignment horizontal="center"/>
    </xf>
    <xf numFmtId="2" fontId="6" fillId="8" borderId="4" xfId="0" applyNumberFormat="1" applyFont="1" applyFill="1" applyBorder="1" applyAlignment="1">
      <alignment horizontal="center"/>
    </xf>
    <xf numFmtId="2" fontId="6" fillId="8" borderId="6" xfId="0" applyNumberFormat="1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2" fontId="6" fillId="2" borderId="11" xfId="0" applyNumberFormat="1" applyFont="1" applyFill="1" applyBorder="1" applyAlignment="1">
      <alignment horizontal="center"/>
    </xf>
    <xf numFmtId="2" fontId="7" fillId="2" borderId="9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/>
    </xf>
    <xf numFmtId="2" fontId="6" fillId="9" borderId="9" xfId="0" applyNumberFormat="1" applyFont="1" applyFill="1" applyBorder="1" applyAlignment="1">
      <alignment horizontal="center"/>
    </xf>
    <xf numFmtId="2" fontId="6" fillId="3" borderId="15" xfId="0" applyNumberFormat="1" applyFont="1" applyFill="1" applyBorder="1" applyAlignment="1">
      <alignment horizontal="center"/>
    </xf>
    <xf numFmtId="2" fontId="6" fillId="6" borderId="15" xfId="0" applyNumberFormat="1" applyFont="1" applyFill="1" applyBorder="1" applyAlignment="1">
      <alignment horizontal="center"/>
    </xf>
    <xf numFmtId="2" fontId="6" fillId="9" borderId="15" xfId="0" applyNumberFormat="1" applyFont="1" applyFill="1" applyBorder="1" applyAlignment="1">
      <alignment horizontal="center"/>
    </xf>
    <xf numFmtId="2" fontId="6" fillId="6" borderId="4" xfId="0" applyNumberFormat="1" applyFont="1" applyFill="1" applyBorder="1" applyAlignment="1">
      <alignment horizontal="center"/>
    </xf>
    <xf numFmtId="2" fontId="6" fillId="3" borderId="9" xfId="0" applyNumberFormat="1" applyFont="1" applyFill="1" applyBorder="1" applyAlignment="1">
      <alignment horizontal="center"/>
    </xf>
    <xf numFmtId="2" fontId="6" fillId="3" borderId="4" xfId="0" applyNumberFormat="1" applyFont="1" applyFill="1" applyBorder="1" applyAlignment="1">
      <alignment horizontal="center"/>
    </xf>
    <xf numFmtId="2" fontId="6" fillId="3" borderId="10" xfId="0" applyNumberFormat="1" applyFont="1" applyFill="1" applyBorder="1" applyAlignment="1">
      <alignment horizontal="center"/>
    </xf>
    <xf numFmtId="2" fontId="6" fillId="3" borderId="13" xfId="0" applyNumberFormat="1" applyFont="1" applyFill="1" applyBorder="1" applyAlignment="1">
      <alignment horizontal="center"/>
    </xf>
    <xf numFmtId="2" fontId="6" fillId="6" borderId="10" xfId="0" applyNumberFormat="1" applyFont="1" applyFill="1" applyBorder="1" applyAlignment="1">
      <alignment horizontal="center"/>
    </xf>
    <xf numFmtId="2" fontId="6" fillId="6" borderId="13" xfId="0" applyNumberFormat="1" applyFont="1" applyFill="1" applyBorder="1" applyAlignment="1">
      <alignment horizontal="center"/>
    </xf>
    <xf numFmtId="2" fontId="6" fillId="9" borderId="10" xfId="0" applyNumberFormat="1" applyFont="1" applyFill="1" applyBorder="1" applyAlignment="1">
      <alignment horizontal="center"/>
    </xf>
    <xf numFmtId="0" fontId="6" fillId="9" borderId="9" xfId="0" applyFont="1" applyFill="1" applyBorder="1" applyAlignment="1">
      <alignment horizontal="center"/>
    </xf>
    <xf numFmtId="0" fontId="6" fillId="9" borderId="10" xfId="0" applyFont="1" applyFill="1" applyBorder="1" applyAlignment="1">
      <alignment horizontal="center"/>
    </xf>
    <xf numFmtId="0" fontId="6" fillId="6" borderId="9" xfId="0" applyFont="1" applyFill="1" applyBorder="1" applyAlignment="1">
      <alignment horizontal="center"/>
    </xf>
    <xf numFmtId="0" fontId="6" fillId="3" borderId="9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6" fillId="6" borderId="10" xfId="0" applyFont="1" applyFill="1" applyBorder="1" applyAlignment="1">
      <alignment horizontal="center"/>
    </xf>
    <xf numFmtId="0" fontId="6" fillId="6" borderId="13" xfId="0" applyFont="1" applyFill="1" applyBorder="1" applyAlignment="1">
      <alignment horizontal="center"/>
    </xf>
    <xf numFmtId="0" fontId="11" fillId="0" borderId="0" xfId="0" applyFont="1" applyAlignment="1">
      <alignment horizontal="center"/>
    </xf>
    <xf numFmtId="0" fontId="23" fillId="10" borderId="0" xfId="0" applyFont="1" applyFill="1"/>
    <xf numFmtId="0" fontId="2" fillId="10" borderId="0" xfId="0" applyFont="1" applyFill="1"/>
    <xf numFmtId="0" fontId="22" fillId="10" borderId="0" xfId="0" applyFont="1" applyFill="1"/>
    <xf numFmtId="0" fontId="3" fillId="10" borderId="0" xfId="0" applyFont="1" applyFill="1"/>
    <xf numFmtId="0" fontId="6" fillId="10" borderId="0" xfId="0" applyFont="1" applyFill="1"/>
    <xf numFmtId="0" fontId="17" fillId="10" borderId="0" xfId="0" applyFont="1" applyFill="1"/>
    <xf numFmtId="0" fontId="19" fillId="10" borderId="0" xfId="0" applyFont="1" applyFill="1"/>
    <xf numFmtId="0" fontId="17" fillId="10" borderId="8" xfId="0" applyFont="1" applyFill="1" applyBorder="1"/>
    <xf numFmtId="0" fontId="2" fillId="10" borderId="8" xfId="0" applyFont="1" applyFill="1" applyBorder="1"/>
    <xf numFmtId="0" fontId="2" fillId="10" borderId="0" xfId="0" applyFont="1" applyFill="1" applyAlignment="1">
      <alignment horizontal="right"/>
    </xf>
    <xf numFmtId="0" fontId="3" fillId="10" borderId="8" xfId="0" applyFont="1" applyFill="1" applyBorder="1" applyAlignment="1">
      <alignment horizontal="right"/>
    </xf>
    <xf numFmtId="0" fontId="2" fillId="10" borderId="2" xfId="0" applyFont="1" applyFill="1" applyBorder="1"/>
    <xf numFmtId="0" fontId="2" fillId="10" borderId="3" xfId="0" applyFont="1" applyFill="1" applyBorder="1"/>
    <xf numFmtId="0" fontId="3" fillId="10" borderId="2" xfId="0" applyFont="1" applyFill="1" applyBorder="1"/>
    <xf numFmtId="2" fontId="3" fillId="10" borderId="2" xfId="0" applyNumberFormat="1" applyFont="1" applyFill="1" applyBorder="1"/>
    <xf numFmtId="2" fontId="3" fillId="10" borderId="3" xfId="0" applyNumberFormat="1" applyFont="1" applyFill="1" applyBorder="1"/>
    <xf numFmtId="2" fontId="2" fillId="10" borderId="2" xfId="0" applyNumberFormat="1" applyFont="1" applyFill="1" applyBorder="1"/>
    <xf numFmtId="0" fontId="3" fillId="10" borderId="3" xfId="0" applyFont="1" applyFill="1" applyBorder="1"/>
    <xf numFmtId="2" fontId="3" fillId="10" borderId="5" xfId="0" applyNumberFormat="1" applyFont="1" applyFill="1" applyBorder="1"/>
    <xf numFmtId="2" fontId="3" fillId="10" borderId="6" xfId="0" applyNumberFormat="1" applyFont="1" applyFill="1" applyBorder="1"/>
    <xf numFmtId="0" fontId="3" fillId="10" borderId="5" xfId="0" applyFont="1" applyFill="1" applyBorder="1"/>
    <xf numFmtId="0" fontId="3" fillId="10" borderId="6" xfId="0" applyFont="1" applyFill="1" applyBorder="1"/>
    <xf numFmtId="2" fontId="10" fillId="10" borderId="5" xfId="0" applyNumberFormat="1" applyFont="1" applyFill="1" applyBorder="1"/>
    <xf numFmtId="0" fontId="3" fillId="10" borderId="14" xfId="0" applyFont="1" applyFill="1" applyBorder="1"/>
    <xf numFmtId="0" fontId="3" fillId="10" borderId="4" xfId="0" applyFont="1" applyFill="1" applyBorder="1"/>
    <xf numFmtId="0" fontId="3" fillId="10" borderId="13" xfId="0" applyFont="1" applyFill="1" applyBorder="1"/>
    <xf numFmtId="0" fontId="18" fillId="10" borderId="0" xfId="0" applyFont="1" applyFill="1"/>
    <xf numFmtId="0" fontId="20" fillId="10" borderId="0" xfId="0" applyFont="1" applyFill="1"/>
    <xf numFmtId="0" fontId="21" fillId="10" borderId="0" xfId="0" applyFont="1" applyFill="1"/>
    <xf numFmtId="2" fontId="20" fillId="10" borderId="0" xfId="0" applyNumberFormat="1" applyFont="1" applyFill="1"/>
    <xf numFmtId="0" fontId="1" fillId="10" borderId="0" xfId="0" applyFont="1" applyFill="1"/>
    <xf numFmtId="0" fontId="24" fillId="10" borderId="0" xfId="0" applyFont="1" applyFill="1"/>
    <xf numFmtId="0" fontId="21" fillId="0" borderId="0" xfId="0" applyFont="1"/>
    <xf numFmtId="0" fontId="20" fillId="0" borderId="0" xfId="0" applyFont="1"/>
    <xf numFmtId="0" fontId="18" fillId="3" borderId="13" xfId="0" applyFont="1" applyFill="1" applyBorder="1"/>
    <xf numFmtId="0" fontId="18" fillId="3" borderId="14" xfId="0" applyFont="1" applyFill="1" applyBorder="1"/>
    <xf numFmtId="0" fontId="18" fillId="3" borderId="12" xfId="0" applyFont="1" applyFill="1" applyBorder="1"/>
    <xf numFmtId="0" fontId="17" fillId="3" borderId="14" xfId="0" applyFont="1" applyFill="1" applyBorder="1"/>
    <xf numFmtId="0" fontId="2" fillId="0" borderId="0" xfId="0" applyFont="1"/>
    <xf numFmtId="2" fontId="6" fillId="10" borderId="4" xfId="0" applyNumberFormat="1" applyFont="1" applyFill="1" applyBorder="1"/>
    <xf numFmtId="0" fontId="6" fillId="10" borderId="6" xfId="0" applyFont="1" applyFill="1" applyBorder="1" applyAlignment="1">
      <alignment horizontal="center"/>
    </xf>
    <xf numFmtId="2" fontId="6" fillId="10" borderId="13" xfId="0" applyNumberFormat="1" applyFont="1" applyFill="1" applyBorder="1"/>
    <xf numFmtId="0" fontId="6" fillId="10" borderId="12" xfId="0" applyFont="1" applyFill="1" applyBorder="1" applyAlignment="1">
      <alignment horizontal="center"/>
    </xf>
    <xf numFmtId="0" fontId="15" fillId="10" borderId="0" xfId="0" applyFont="1" applyFill="1"/>
    <xf numFmtId="0" fontId="3" fillId="10" borderId="1" xfId="0" applyFont="1" applyFill="1" applyBorder="1"/>
    <xf numFmtId="0" fontId="3" fillId="10" borderId="12" xfId="0" applyFont="1" applyFill="1" applyBorder="1"/>
    <xf numFmtId="0" fontId="3" fillId="11" borderId="14" xfId="0" applyFont="1" applyFill="1" applyBorder="1"/>
    <xf numFmtId="0" fontId="3" fillId="11" borderId="0" xfId="0" applyFont="1" applyFill="1"/>
    <xf numFmtId="0" fontId="3" fillId="11" borderId="12" xfId="0" applyFont="1" applyFill="1" applyBorder="1"/>
    <xf numFmtId="2" fontId="3" fillId="11" borderId="2" xfId="0" applyNumberFormat="1" applyFont="1" applyFill="1" applyBorder="1"/>
    <xf numFmtId="0" fontId="3" fillId="11" borderId="3" xfId="0" applyFont="1" applyFill="1" applyBorder="1"/>
    <xf numFmtId="0" fontId="3" fillId="11" borderId="7" xfId="0" applyFont="1" applyFill="1" applyBorder="1"/>
    <xf numFmtId="0" fontId="3" fillId="11" borderId="8" xfId="0" applyFont="1" applyFill="1" applyBorder="1"/>
    <xf numFmtId="0" fontId="3" fillId="11" borderId="2" xfId="0" applyFont="1" applyFill="1" applyBorder="1"/>
    <xf numFmtId="0" fontId="3" fillId="11" borderId="0" xfId="0" applyFont="1" applyFill="1" applyAlignment="1">
      <alignment horizontal="center"/>
    </xf>
    <xf numFmtId="169" fontId="3" fillId="10" borderId="2" xfId="0" applyNumberFormat="1" applyFont="1" applyFill="1" applyBorder="1" applyAlignment="1">
      <alignment horizontal="left"/>
    </xf>
    <xf numFmtId="169" fontId="3" fillId="10" borderId="8" xfId="0" applyNumberFormat="1" applyFont="1" applyFill="1" applyBorder="1"/>
    <xf numFmtId="2" fontId="18" fillId="10" borderId="0" xfId="0" applyNumberFormat="1" applyFont="1" applyFill="1" applyProtection="1">
      <protection locked="0"/>
    </xf>
    <xf numFmtId="2" fontId="18" fillId="10" borderId="0" xfId="0" applyNumberFormat="1" applyFont="1" applyFill="1"/>
    <xf numFmtId="0" fontId="25" fillId="10" borderId="0" xfId="0" applyFont="1" applyFill="1"/>
    <xf numFmtId="0" fontId="26" fillId="0" borderId="0" xfId="0" applyFont="1"/>
    <xf numFmtId="0" fontId="9" fillId="10" borderId="0" xfId="0" applyFont="1" applyFill="1"/>
    <xf numFmtId="2" fontId="25" fillId="10" borderId="8" xfId="0" applyNumberFormat="1" applyFont="1" applyFill="1" applyBorder="1"/>
    <xf numFmtId="0" fontId="3" fillId="6" borderId="9" xfId="0" applyFont="1" applyFill="1" applyBorder="1"/>
    <xf numFmtId="0" fontId="27" fillId="0" borderId="0" xfId="0" applyFont="1"/>
    <xf numFmtId="2" fontId="6" fillId="2" borderId="9" xfId="0" applyNumberFormat="1" applyFont="1" applyFill="1" applyBorder="1" applyProtection="1">
      <protection locked="0"/>
    </xf>
    <xf numFmtId="2" fontId="6" fillId="2" borderId="6" xfId="0" applyNumberFormat="1" applyFont="1" applyFill="1" applyBorder="1"/>
    <xf numFmtId="0" fontId="6" fillId="10" borderId="4" xfId="0" applyFont="1" applyFill="1" applyBorder="1"/>
    <xf numFmtId="0" fontId="6" fillId="10" borderId="6" xfId="0" applyFont="1" applyFill="1" applyBorder="1"/>
    <xf numFmtId="2" fontId="3" fillId="11" borderId="2" xfId="0" applyNumberFormat="1" applyFont="1" applyFill="1" applyBorder="1" applyAlignment="1">
      <alignment horizontal="left"/>
    </xf>
    <xf numFmtId="2" fontId="3" fillId="11" borderId="2" xfId="0" applyNumberFormat="1" applyFont="1" applyFill="1" applyBorder="1" applyAlignment="1">
      <alignment horizontal="right"/>
    </xf>
    <xf numFmtId="2" fontId="3" fillId="10" borderId="2" xfId="0" applyNumberFormat="1" applyFont="1" applyFill="1" applyBorder="1" applyAlignment="1">
      <alignment horizontal="centerContinuous"/>
    </xf>
    <xf numFmtId="2" fontId="3" fillId="10" borderId="3" xfId="0" applyNumberFormat="1" applyFont="1" applyFill="1" applyBorder="1" applyAlignment="1">
      <alignment horizontal="centerContinuous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30203E-FFD1-48BB-A96C-8682C882D061}">
  <dimension ref="A1:AF205"/>
  <sheetViews>
    <sheetView showGridLines="0" tabSelected="1" workbookViewId="0">
      <selection activeCell="C4" sqref="C4"/>
    </sheetView>
  </sheetViews>
  <sheetFormatPr baseColWidth="10" defaultColWidth="10.3984375" defaultRowHeight="12.75" x14ac:dyDescent="0.35"/>
  <cols>
    <col min="1" max="1" width="10.3984375" bestFit="1" customWidth="1"/>
    <col min="2" max="2" width="6.1328125" customWidth="1"/>
    <col min="3" max="3" width="4.59765625" customWidth="1"/>
    <col min="4" max="4" width="2.86328125" customWidth="1"/>
    <col min="5" max="5" width="1.59765625" customWidth="1"/>
    <col min="6" max="6" width="5.1328125" customWidth="1"/>
    <col min="7" max="7" width="1.59765625" customWidth="1"/>
    <col min="8" max="8" width="1.73046875" customWidth="1"/>
    <col min="9" max="9" width="5.1328125" customWidth="1"/>
    <col min="10" max="11" width="1.73046875" customWidth="1"/>
    <col min="12" max="12" width="5.1328125" customWidth="1"/>
    <col min="13" max="13" width="1.73046875" customWidth="1"/>
    <col min="14" max="14" width="4.59765625" customWidth="1"/>
    <col min="15" max="17" width="4.73046875" customWidth="1"/>
    <col min="18" max="18" width="5.1328125" customWidth="1"/>
    <col min="19" max="19" width="2.265625" customWidth="1"/>
    <col min="20" max="20" width="2.73046875" customWidth="1"/>
    <col min="21" max="21" width="3.59765625" bestFit="1" customWidth="1"/>
    <col min="22" max="22" width="4.59765625" bestFit="1" customWidth="1"/>
    <col min="23" max="23" width="28.3984375" bestFit="1" customWidth="1"/>
    <col min="24" max="27" width="11.3984375" style="22" hidden="1" customWidth="1"/>
    <col min="28" max="30" width="10.3984375" hidden="1" customWidth="1"/>
  </cols>
  <sheetData>
    <row r="1" spans="1:32" ht="13.15" x14ac:dyDescent="0.4">
      <c r="A1" s="188" t="s">
        <v>0</v>
      </c>
      <c r="B1" s="189"/>
      <c r="C1" s="189"/>
      <c r="D1" s="189"/>
      <c r="E1" s="189"/>
      <c r="F1" s="189"/>
      <c r="G1" s="189"/>
      <c r="H1" s="189"/>
      <c r="I1" s="189"/>
      <c r="K1" s="189"/>
      <c r="L1" s="189"/>
      <c r="M1" s="189"/>
      <c r="N1" s="189"/>
      <c r="O1" s="189"/>
      <c r="P1" s="189"/>
      <c r="Q1" s="189"/>
      <c r="R1" s="190"/>
      <c r="S1" s="190"/>
      <c r="T1" s="190"/>
      <c r="U1" s="215">
        <f>C3</f>
        <v>0</v>
      </c>
      <c r="V1" s="215">
        <f>IF(AND(X1=0,Y1=0,Z1=0),0,1)</f>
        <v>1</v>
      </c>
      <c r="W1" s="216"/>
      <c r="X1" s="215">
        <f>IF(C3=0,1,IF(OR(U1&lt;20,U1&gt;43),0,1))</f>
        <v>1</v>
      </c>
      <c r="Y1" s="215">
        <f>IF(OR(U1&lt;65,U1&gt;82),0,1)</f>
        <v>0</v>
      </c>
      <c r="Z1" s="215">
        <f>IF(OR(U1&lt;100,U1&gt;105),0,1)</f>
        <v>0</v>
      </c>
      <c r="AA1" s="215"/>
      <c r="AB1" s="216"/>
      <c r="AC1" s="216"/>
      <c r="AD1" s="220"/>
      <c r="AE1" s="220"/>
      <c r="AF1" s="220"/>
    </row>
    <row r="2" spans="1:32" x14ac:dyDescent="0.35">
      <c r="A2" s="231" t="s">
        <v>1</v>
      </c>
      <c r="B2" s="189"/>
      <c r="C2" s="189"/>
      <c r="D2" s="189"/>
      <c r="E2" s="189"/>
      <c r="F2" s="189"/>
      <c r="G2" s="189"/>
      <c r="H2" s="189"/>
      <c r="I2" s="189"/>
      <c r="J2" s="189"/>
      <c r="K2" s="189"/>
      <c r="L2" s="189"/>
      <c r="M2" s="189"/>
      <c r="N2" s="189"/>
      <c r="O2" s="189"/>
      <c r="P2" s="189"/>
      <c r="Q2" s="189"/>
      <c r="R2" s="189"/>
      <c r="S2" s="189"/>
      <c r="T2" s="189"/>
      <c r="U2" s="119"/>
      <c r="V2" s="120" t="s">
        <v>2</v>
      </c>
      <c r="W2" s="121"/>
      <c r="X2" s="215"/>
      <c r="Y2" s="215"/>
      <c r="Z2" s="215"/>
      <c r="AA2" s="215"/>
      <c r="AB2" s="216"/>
      <c r="AC2" s="216"/>
      <c r="AD2" s="220"/>
      <c r="AE2" s="220"/>
      <c r="AF2" s="220"/>
    </row>
    <row r="3" spans="1:32" ht="13.15" x14ac:dyDescent="0.4">
      <c r="A3" s="231" t="s">
        <v>3</v>
      </c>
      <c r="B3" s="189"/>
      <c r="C3" s="146"/>
      <c r="D3" s="192"/>
      <c r="E3" s="193"/>
      <c r="F3" s="193"/>
      <c r="H3" s="193"/>
      <c r="I3" s="193"/>
      <c r="J3" s="193"/>
      <c r="K3" s="193"/>
      <c r="L3" s="193"/>
      <c r="M3" s="193"/>
      <c r="N3" s="193"/>
      <c r="O3" s="193"/>
      <c r="P3" s="193"/>
      <c r="Q3" s="193"/>
      <c r="R3" s="193"/>
      <c r="S3" s="193"/>
      <c r="T3" s="195"/>
      <c r="U3" s="33">
        <v>1</v>
      </c>
      <c r="V3" s="33" t="s">
        <v>4</v>
      </c>
      <c r="W3" s="35" t="s">
        <v>5</v>
      </c>
      <c r="X3" s="215" t="e">
        <f>VLOOKUP(C3,Daten!A42:AO146,41)</f>
        <v>#N/A</v>
      </c>
      <c r="Y3" s="215" t="e">
        <f>VLOOKUP(C3,Daten!A42:AO146,39)</f>
        <v>#N/A</v>
      </c>
      <c r="Z3" s="215"/>
      <c r="AA3" s="215"/>
      <c r="AB3" s="216"/>
      <c r="AC3" s="216"/>
      <c r="AD3" s="220"/>
      <c r="AE3" s="220"/>
      <c r="AF3" s="220"/>
    </row>
    <row r="4" spans="1:32" ht="13.15" x14ac:dyDescent="0.4">
      <c r="A4" s="194" t="str">
        <f>IF(C3=0,"",IF(V1=1,"Achtung:    Für diese Weichenform ist die u. A. Tabelle nicht geeignet.",""))</f>
        <v/>
      </c>
      <c r="B4" s="189"/>
      <c r="D4" s="189"/>
      <c r="E4" s="189"/>
      <c r="F4" s="189"/>
      <c r="G4" s="218"/>
      <c r="H4" s="189"/>
      <c r="I4" s="189"/>
      <c r="K4" s="189"/>
      <c r="L4" s="189"/>
      <c r="M4" s="189"/>
      <c r="N4" s="189"/>
      <c r="O4" s="189"/>
      <c r="P4" s="189"/>
      <c r="Q4" s="189"/>
      <c r="R4" s="189"/>
      <c r="S4" s="189"/>
      <c r="T4" s="196"/>
      <c r="U4" s="37">
        <v>2</v>
      </c>
      <c r="V4" s="37" t="s">
        <v>4</v>
      </c>
      <c r="W4" s="21" t="s">
        <v>6</v>
      </c>
      <c r="X4" s="215"/>
      <c r="Y4" s="215" t="e">
        <f>IF(Y3=1,0,IF(Y3=2,0.15,IF(Y3=3,0.175,"")))</f>
        <v>#N/A</v>
      </c>
      <c r="Z4" s="215"/>
      <c r="AA4" s="215"/>
      <c r="AB4" s="216"/>
      <c r="AC4" s="216"/>
      <c r="AD4" s="220"/>
      <c r="AE4" s="220"/>
      <c r="AF4" s="220"/>
    </row>
    <row r="5" spans="1:32" ht="13.15" x14ac:dyDescent="0.4">
      <c r="A5" s="197" t="s">
        <v>7</v>
      </c>
      <c r="B5" s="128" t="str">
        <f>IF(V1=1,"",VLOOKUP(C3,U3:W107,3))</f>
        <v/>
      </c>
      <c r="C5" s="129"/>
      <c r="D5" s="129"/>
      <c r="E5" s="129"/>
      <c r="F5" s="130"/>
      <c r="G5" t="s">
        <v>8</v>
      </c>
      <c r="H5" s="189"/>
      <c r="I5" s="219"/>
      <c r="J5" s="189"/>
      <c r="K5" s="189"/>
      <c r="L5" s="189"/>
      <c r="M5" s="189"/>
      <c r="N5" s="189"/>
      <c r="O5" s="189"/>
      <c r="P5" s="189"/>
      <c r="Q5" s="189"/>
      <c r="R5" s="189"/>
      <c r="S5" s="189"/>
      <c r="T5" s="196"/>
      <c r="U5" s="37">
        <v>3</v>
      </c>
      <c r="V5" s="37" t="s">
        <v>4</v>
      </c>
      <c r="W5" s="21" t="s">
        <v>9</v>
      </c>
      <c r="X5" s="215"/>
      <c r="Y5" s="215"/>
      <c r="Z5" s="215"/>
      <c r="AA5" s="215"/>
      <c r="AB5" s="216"/>
      <c r="AC5" s="216"/>
      <c r="AD5" s="220"/>
      <c r="AE5" s="220"/>
      <c r="AF5" s="220"/>
    </row>
    <row r="6" spans="1:32" x14ac:dyDescent="0.35">
      <c r="B6" s="189"/>
      <c r="C6" s="189"/>
      <c r="D6" s="189"/>
      <c r="E6" s="189"/>
      <c r="F6" s="189"/>
      <c r="G6" s="189"/>
      <c r="H6" s="199"/>
      <c r="I6" s="199"/>
      <c r="J6" s="200"/>
      <c r="K6" s="201" t="s">
        <v>10</v>
      </c>
      <c r="L6" s="199"/>
      <c r="M6" s="199"/>
      <c r="N6" s="191"/>
      <c r="O6" s="189"/>
      <c r="P6" s="189"/>
      <c r="Q6" s="189"/>
      <c r="R6" s="245"/>
      <c r="S6" s="191"/>
      <c r="T6" s="196"/>
      <c r="U6" s="37">
        <v>4</v>
      </c>
      <c r="V6" s="37" t="s">
        <v>4</v>
      </c>
      <c r="W6" s="21" t="s">
        <v>11</v>
      </c>
      <c r="X6" s="215"/>
      <c r="Y6" s="215"/>
      <c r="Z6" s="215"/>
      <c r="AA6" s="215"/>
      <c r="AB6" s="216"/>
      <c r="AC6" s="216"/>
      <c r="AD6" s="220"/>
      <c r="AE6" s="220"/>
      <c r="AF6" s="220"/>
    </row>
    <row r="7" spans="1:32" x14ac:dyDescent="0.35">
      <c r="A7" s="189"/>
      <c r="B7" s="191"/>
      <c r="C7" s="191"/>
      <c r="D7" s="191"/>
      <c r="E7" s="201"/>
      <c r="F7" s="201"/>
      <c r="G7" s="205"/>
      <c r="H7" s="235"/>
      <c r="I7" s="242" t="s">
        <v>12</v>
      </c>
      <c r="J7" s="240"/>
      <c r="K7" s="239"/>
      <c r="L7" s="235" t="s">
        <v>13</v>
      </c>
      <c r="M7" s="240"/>
      <c r="N7" s="189"/>
      <c r="O7" s="189"/>
      <c r="P7" s="189"/>
      <c r="Q7" s="189"/>
      <c r="R7" s="246"/>
      <c r="S7" s="189"/>
      <c r="T7" s="196"/>
      <c r="U7" s="37">
        <v>5</v>
      </c>
      <c r="V7" s="37" t="s">
        <v>4</v>
      </c>
      <c r="W7" s="21" t="s">
        <v>14</v>
      </c>
      <c r="X7" s="215"/>
      <c r="Y7" s="215"/>
      <c r="Z7" s="215"/>
      <c r="AA7" s="215"/>
      <c r="AB7" s="216"/>
      <c r="AC7" s="216"/>
      <c r="AD7" s="220"/>
      <c r="AE7" s="220"/>
      <c r="AF7" s="220"/>
    </row>
    <row r="8" spans="1:32" x14ac:dyDescent="0.35">
      <c r="A8" s="198" t="s">
        <v>15</v>
      </c>
      <c r="B8" s="232"/>
      <c r="C8" s="201"/>
      <c r="D8" s="205"/>
      <c r="E8" s="239"/>
      <c r="F8" s="235" t="s">
        <v>16</v>
      </c>
      <c r="G8" s="236"/>
      <c r="H8" s="235"/>
      <c r="I8" s="235"/>
      <c r="J8" s="240"/>
      <c r="K8" s="241"/>
      <c r="L8" s="237" t="str">
        <f>IF(OR(C3=1,C3=2),0,L20)</f>
        <v/>
      </c>
      <c r="M8" s="238" t="s">
        <v>17</v>
      </c>
      <c r="N8" s="191"/>
      <c r="O8" s="189"/>
      <c r="P8" s="189"/>
      <c r="Q8" s="189"/>
      <c r="R8" s="245"/>
      <c r="S8" s="191"/>
      <c r="T8" s="196"/>
      <c r="U8" s="37">
        <v>6</v>
      </c>
      <c r="V8" s="37" t="s">
        <v>18</v>
      </c>
      <c r="W8" s="21" t="s">
        <v>19</v>
      </c>
      <c r="X8" s="215"/>
      <c r="Y8" s="215"/>
      <c r="Z8" s="215"/>
      <c r="AA8" s="215"/>
      <c r="AB8" s="216"/>
      <c r="AC8" s="216"/>
      <c r="AD8" s="220"/>
      <c r="AE8" s="220"/>
      <c r="AF8" s="220"/>
    </row>
    <row r="9" spans="1:32" x14ac:dyDescent="0.35">
      <c r="A9" s="196"/>
      <c r="B9" s="234" t="s">
        <v>20</v>
      </c>
      <c r="C9" s="235"/>
      <c r="D9" s="236"/>
      <c r="E9" s="235"/>
      <c r="F9" s="235"/>
      <c r="G9" s="240"/>
      <c r="H9" s="235"/>
      <c r="I9" s="235"/>
      <c r="J9" s="240"/>
      <c r="K9" s="235"/>
      <c r="L9" s="235"/>
      <c r="M9" s="236"/>
      <c r="N9" s="191"/>
      <c r="O9" s="189"/>
      <c r="P9" s="189"/>
      <c r="Q9" s="189"/>
      <c r="R9" s="246"/>
      <c r="S9" s="189"/>
      <c r="T9" s="196"/>
      <c r="U9" s="37">
        <v>7</v>
      </c>
      <c r="V9" s="37" t="s">
        <v>18</v>
      </c>
      <c r="W9" s="21" t="s">
        <v>21</v>
      </c>
      <c r="X9" s="215"/>
      <c r="Y9" s="215"/>
      <c r="Z9" s="215"/>
      <c r="AA9" s="215"/>
      <c r="AB9" s="216"/>
      <c r="AC9" s="216"/>
      <c r="AD9" s="220"/>
      <c r="AE9" s="220"/>
      <c r="AF9" s="220"/>
    </row>
    <row r="10" spans="1:32" x14ac:dyDescent="0.35">
      <c r="A10" s="244" t="str">
        <f>B20</f>
        <v/>
      </c>
      <c r="B10" s="258" t="str">
        <f>C20</f>
        <v/>
      </c>
      <c r="C10" s="257" t="s">
        <v>17</v>
      </c>
      <c r="D10" s="238" t="s">
        <v>22</v>
      </c>
      <c r="E10" s="241"/>
      <c r="F10" s="237" t="str">
        <f>F20</f>
        <v/>
      </c>
      <c r="G10" s="238" t="s">
        <v>17</v>
      </c>
      <c r="H10" s="241"/>
      <c r="I10" s="237" t="str">
        <f>I20</f>
        <v/>
      </c>
      <c r="J10" s="238" t="s">
        <v>17</v>
      </c>
      <c r="K10" s="241"/>
      <c r="L10" s="237" t="str">
        <f>IF(OR(C3=1,C3=2),0,L20)</f>
        <v/>
      </c>
      <c r="M10" s="238" t="s">
        <v>17</v>
      </c>
      <c r="N10" s="191"/>
      <c r="O10" s="189"/>
      <c r="P10" s="189"/>
      <c r="Q10" s="189"/>
      <c r="R10" s="245"/>
      <c r="S10" s="191"/>
      <c r="T10" s="196"/>
      <c r="U10" s="37">
        <v>8</v>
      </c>
      <c r="V10" s="37" t="s">
        <v>4</v>
      </c>
      <c r="W10" s="21" t="s">
        <v>23</v>
      </c>
      <c r="X10" s="215"/>
      <c r="Y10" s="215"/>
      <c r="Z10" s="215"/>
      <c r="AA10" s="215"/>
      <c r="AB10" s="216"/>
      <c r="AC10" s="216"/>
      <c r="AD10" s="220"/>
      <c r="AE10" s="220"/>
      <c r="AF10" s="220"/>
    </row>
    <row r="11" spans="1:32" x14ac:dyDescent="0.35">
      <c r="A11" s="189"/>
      <c r="B11" s="189"/>
      <c r="C11" s="189"/>
      <c r="D11" s="189"/>
      <c r="E11" s="189"/>
      <c r="F11" s="189"/>
      <c r="G11" s="189"/>
      <c r="H11" s="189"/>
      <c r="I11" s="189"/>
      <c r="J11" s="189"/>
      <c r="K11" s="189"/>
      <c r="L11" s="189"/>
      <c r="M11" s="189"/>
      <c r="N11" s="189"/>
      <c r="O11" s="189"/>
      <c r="P11" s="189"/>
      <c r="Q11" s="189"/>
      <c r="R11" s="189"/>
      <c r="S11" s="226"/>
      <c r="T11" s="196"/>
      <c r="U11" s="37">
        <v>9</v>
      </c>
      <c r="V11" s="37" t="s">
        <v>4</v>
      </c>
      <c r="W11" s="21" t="s">
        <v>24</v>
      </c>
      <c r="X11" s="215"/>
      <c r="Y11" s="215"/>
      <c r="Z11" s="215"/>
      <c r="AA11" s="215"/>
      <c r="AB11" s="216"/>
      <c r="AC11" s="216"/>
      <c r="AD11" s="220"/>
      <c r="AE11" s="220"/>
      <c r="AF11" s="220"/>
    </row>
    <row r="12" spans="1:32" x14ac:dyDescent="0.35">
      <c r="A12" s="20" t="s">
        <v>25</v>
      </c>
      <c r="E12" s="218"/>
      <c r="F12" s="218"/>
      <c r="G12" s="218"/>
      <c r="H12" s="218"/>
      <c r="I12" s="218"/>
      <c r="J12" s="218"/>
      <c r="K12" s="218"/>
      <c r="L12" s="218"/>
      <c r="M12" s="218"/>
      <c r="N12" s="218"/>
      <c r="O12" s="218"/>
      <c r="P12" s="218"/>
      <c r="Q12" s="218"/>
      <c r="R12" s="218"/>
      <c r="S12" s="189"/>
      <c r="T12" s="189"/>
      <c r="U12" s="37">
        <v>10</v>
      </c>
      <c r="V12" s="37" t="s">
        <v>4</v>
      </c>
      <c r="W12" s="21" t="s">
        <v>26</v>
      </c>
      <c r="X12" s="215"/>
      <c r="Y12" s="215"/>
      <c r="Z12" s="215"/>
      <c r="AA12" s="215"/>
      <c r="AB12" s="216"/>
      <c r="AC12" s="216"/>
      <c r="AD12" s="220"/>
      <c r="AE12" s="220"/>
      <c r="AF12" s="220"/>
    </row>
    <row r="13" spans="1:32" x14ac:dyDescent="0.35">
      <c r="A13" s="248" t="s">
        <v>27</v>
      </c>
      <c r="B13" s="218"/>
      <c r="C13" s="218"/>
      <c r="D13" s="218"/>
      <c r="E13" s="218"/>
      <c r="F13" s="249" t="s">
        <v>28</v>
      </c>
      <c r="G13" s="218"/>
      <c r="H13" s="218"/>
      <c r="I13" s="218"/>
      <c r="J13" s="218"/>
      <c r="K13" s="218"/>
      <c r="L13" s="218"/>
      <c r="M13" s="218"/>
      <c r="N13" s="218"/>
      <c r="O13" s="249" t="s">
        <v>29</v>
      </c>
      <c r="P13" s="218"/>
      <c r="Q13" s="218"/>
      <c r="S13" s="191"/>
      <c r="T13" s="191"/>
      <c r="U13" s="37">
        <v>11</v>
      </c>
      <c r="V13" s="37" t="s">
        <v>4</v>
      </c>
      <c r="W13" s="21" t="s">
        <v>30</v>
      </c>
      <c r="X13" s="215"/>
      <c r="Y13" s="215"/>
      <c r="Z13" s="215"/>
      <c r="AA13" s="215"/>
      <c r="AB13" s="216"/>
      <c r="AC13" s="216"/>
      <c r="AD13" s="220"/>
      <c r="AE13" s="220"/>
      <c r="AF13" s="220"/>
    </row>
    <row r="14" spans="1:32" x14ac:dyDescent="0.35">
      <c r="A14" s="191" t="s">
        <v>31</v>
      </c>
      <c r="B14" s="218"/>
      <c r="C14" s="253">
        <v>0</v>
      </c>
      <c r="D14" s="191" t="s">
        <v>17</v>
      </c>
      <c r="E14" s="218"/>
      <c r="F14" s="7" t="s">
        <v>32</v>
      </c>
      <c r="G14" s="192"/>
      <c r="H14" s="192"/>
      <c r="I14" s="250"/>
      <c r="J14" s="255" t="s">
        <v>33</v>
      </c>
      <c r="K14" s="256"/>
      <c r="L14" s="254">
        <v>0</v>
      </c>
      <c r="M14" s="247" t="s">
        <v>34</v>
      </c>
      <c r="N14" s="218"/>
      <c r="O14" s="192" t="s">
        <v>35</v>
      </c>
      <c r="P14" s="192"/>
      <c r="Q14" s="192"/>
      <c r="R14" s="192"/>
      <c r="S14" s="191"/>
      <c r="T14" s="191"/>
      <c r="U14" s="37">
        <v>12</v>
      </c>
      <c r="V14" s="37" t="s">
        <v>4</v>
      </c>
      <c r="W14" s="21" t="s">
        <v>36</v>
      </c>
      <c r="X14" s="217" t="e">
        <f>AA14+F20+I20</f>
        <v>#N/A</v>
      </c>
      <c r="Y14" s="217" t="e">
        <f>VLOOKUP(C3,Daten!A42:AO146,26)</f>
        <v>#N/A</v>
      </c>
      <c r="Z14" s="217" t="e">
        <f>X14-Y14</f>
        <v>#N/A</v>
      </c>
      <c r="AA14" s="215" t="e">
        <f>VLOOKUP($X$3,W_Fläche!$A$2:$AE$515,8)</f>
        <v>#N/A</v>
      </c>
      <c r="AB14" s="217"/>
      <c r="AC14" s="216"/>
      <c r="AD14" s="220"/>
      <c r="AE14" s="220"/>
      <c r="AF14" s="220"/>
    </row>
    <row r="15" spans="1:32" x14ac:dyDescent="0.35">
      <c r="A15" s="191" t="s">
        <v>37</v>
      </c>
      <c r="B15" s="218"/>
      <c r="C15" s="253">
        <v>0</v>
      </c>
      <c r="D15" s="191" t="s">
        <v>17</v>
      </c>
      <c r="E15" s="218"/>
      <c r="F15" s="192" t="s">
        <v>38</v>
      </c>
      <c r="G15" s="192"/>
      <c r="H15" s="192"/>
      <c r="I15" s="192"/>
      <c r="J15" s="255" t="s">
        <v>39</v>
      </c>
      <c r="K15" s="256"/>
      <c r="L15" s="254">
        <v>0</v>
      </c>
      <c r="M15" s="192" t="s">
        <v>40</v>
      </c>
      <c r="N15" s="247"/>
      <c r="O15" s="192" t="s">
        <v>41</v>
      </c>
      <c r="P15" s="192"/>
      <c r="Q15" s="192"/>
      <c r="R15" s="192"/>
      <c r="S15" s="191"/>
      <c r="T15" s="191"/>
      <c r="U15" s="37">
        <v>13</v>
      </c>
      <c r="V15" s="37" t="s">
        <v>4</v>
      </c>
      <c r="W15" s="21" t="s">
        <v>42</v>
      </c>
      <c r="X15" s="215" t="e">
        <f>VLOOKUP($X$3,W_Fläche!$A$2:$AE$515,17)</f>
        <v>#N/A</v>
      </c>
      <c r="Y15" s="215">
        <f>2*C14</f>
        <v>0</v>
      </c>
      <c r="Z15" s="215" t="e">
        <f>VLOOKUP($X$3,W_Fläche!$A$2:$AE$515,18)</f>
        <v>#N/A</v>
      </c>
      <c r="AA15" s="215">
        <f>2*C14</f>
        <v>0</v>
      </c>
      <c r="AB15" s="215" t="e">
        <f>VLOOKUP($X$3,W_Fläche!$A$2:$AE$515,19)</f>
        <v>#N/A</v>
      </c>
      <c r="AC15" s="215">
        <f>2*C14</f>
        <v>0</v>
      </c>
      <c r="AD15" s="221" t="e">
        <f>VLOOKUP($X$3,W_Fläche!$A$2:$AE$515,24)</f>
        <v>#N/A</v>
      </c>
      <c r="AE15" s="221">
        <f>2*C14</f>
        <v>0</v>
      </c>
      <c r="AF15" s="220"/>
    </row>
    <row r="16" spans="1:32" x14ac:dyDescent="0.35">
      <c r="A16" s="191" t="s">
        <v>43</v>
      </c>
      <c r="B16" s="218"/>
      <c r="C16" s="253">
        <v>0</v>
      </c>
      <c r="D16" s="191" t="s">
        <v>17</v>
      </c>
      <c r="E16" s="218"/>
      <c r="F16" s="192" t="s">
        <v>44</v>
      </c>
      <c r="G16" s="192"/>
      <c r="H16" s="192"/>
      <c r="I16" s="192"/>
      <c r="J16" s="255" t="s">
        <v>45</v>
      </c>
      <c r="K16" s="256"/>
      <c r="L16" s="254">
        <v>0</v>
      </c>
      <c r="M16" s="192" t="s">
        <v>40</v>
      </c>
      <c r="N16" s="247"/>
      <c r="O16" s="192" t="s">
        <v>46</v>
      </c>
      <c r="P16" s="192"/>
      <c r="Q16" s="192"/>
      <c r="R16" s="192"/>
      <c r="S16" s="191"/>
      <c r="T16" s="191"/>
      <c r="U16" s="37">
        <v>14</v>
      </c>
      <c r="V16" s="37" t="s">
        <v>4</v>
      </c>
      <c r="W16" s="21" t="s">
        <v>47</v>
      </c>
      <c r="X16" s="215" t="e">
        <f>ROUND(B21*(Z14+AA14),2)</f>
        <v>#VALUE!</v>
      </c>
      <c r="Y16" s="215"/>
      <c r="Z16" s="215"/>
      <c r="AA16" s="215"/>
      <c r="AB16" s="216"/>
      <c r="AC16" s="216"/>
      <c r="AD16" s="220"/>
      <c r="AE16" s="220"/>
      <c r="AF16" s="220"/>
    </row>
    <row r="17" spans="1:32" x14ac:dyDescent="0.35">
      <c r="B17" s="218"/>
      <c r="C17" s="218"/>
      <c r="E17" s="218"/>
      <c r="F17" s="247"/>
      <c r="G17" s="247"/>
      <c r="H17" s="247"/>
      <c r="I17" s="247"/>
      <c r="J17" s="247"/>
      <c r="K17" s="247"/>
      <c r="L17" s="247"/>
      <c r="M17" s="247"/>
      <c r="N17" s="247"/>
      <c r="O17" s="247"/>
      <c r="P17" s="247"/>
      <c r="Q17" s="247"/>
      <c r="R17" s="247"/>
      <c r="S17" s="191"/>
      <c r="T17" s="191"/>
      <c r="U17" s="37">
        <v>15</v>
      </c>
      <c r="V17" s="37" t="s">
        <v>4</v>
      </c>
      <c r="W17" s="21" t="s">
        <v>48</v>
      </c>
      <c r="X17" s="215" t="e">
        <f>X16*(C15+C16+Y4)</f>
        <v>#VALUE!</v>
      </c>
      <c r="Y17" s="215" t="e">
        <f>F22*(C15+C16+Y4)</f>
        <v>#VALUE!</v>
      </c>
      <c r="Z17" s="215" t="e">
        <f>I22*(C15+C16+Y4)</f>
        <v>#VALUE!</v>
      </c>
      <c r="AA17" s="215" t="e">
        <f>L22*(C15+C16+Y4)</f>
        <v>#VALUE!</v>
      </c>
      <c r="AB17" s="216"/>
      <c r="AC17" s="216"/>
      <c r="AD17" s="220"/>
      <c r="AE17" s="220"/>
      <c r="AF17" s="220"/>
    </row>
    <row r="18" spans="1:32" ht="13.15" x14ac:dyDescent="0.4">
      <c r="A18" s="126" t="s">
        <v>49</v>
      </c>
      <c r="B18" s="222" t="s">
        <v>50</v>
      </c>
      <c r="C18" s="223"/>
      <c r="D18" s="224"/>
      <c r="E18" s="223"/>
      <c r="F18" s="223" t="s">
        <v>51</v>
      </c>
      <c r="G18" s="224"/>
      <c r="H18" s="223"/>
      <c r="I18" s="223" t="s">
        <v>52</v>
      </c>
      <c r="J18" s="224"/>
      <c r="K18" s="225"/>
      <c r="L18" s="223" t="s">
        <v>53</v>
      </c>
      <c r="M18" s="224"/>
      <c r="N18" s="223" t="s">
        <v>54</v>
      </c>
      <c r="O18" s="223"/>
      <c r="P18" s="225"/>
      <c r="Q18" s="225"/>
      <c r="R18" s="122"/>
      <c r="S18" s="191"/>
      <c r="T18" s="191"/>
      <c r="U18" s="37">
        <v>16</v>
      </c>
      <c r="V18" s="37" t="s">
        <v>4</v>
      </c>
      <c r="W18" s="21" t="s">
        <v>55</v>
      </c>
      <c r="X18" s="215"/>
      <c r="Y18" s="215"/>
      <c r="Z18" s="215"/>
      <c r="AA18" s="215"/>
      <c r="AB18" s="216"/>
      <c r="AC18" s="216"/>
      <c r="AD18" s="220"/>
      <c r="AE18" s="220"/>
      <c r="AF18" s="220"/>
    </row>
    <row r="19" spans="1:32" x14ac:dyDescent="0.35">
      <c r="A19" s="127"/>
      <c r="B19" s="124" t="s">
        <v>56</v>
      </c>
      <c r="C19" s="124"/>
      <c r="D19" s="125"/>
      <c r="E19" s="124"/>
      <c r="F19" s="124"/>
      <c r="G19" s="125"/>
      <c r="H19" s="124"/>
      <c r="I19" s="124"/>
      <c r="J19" s="125"/>
      <c r="K19" s="124"/>
      <c r="L19" s="124"/>
      <c r="M19" s="125"/>
      <c r="N19" s="124"/>
      <c r="O19" s="124"/>
      <c r="P19" s="124"/>
      <c r="Q19" s="124"/>
      <c r="R19" s="125"/>
      <c r="S19" s="191"/>
      <c r="T19" s="191"/>
      <c r="U19" s="37">
        <v>17</v>
      </c>
      <c r="V19" s="37" t="s">
        <v>4</v>
      </c>
      <c r="W19" s="21" t="s">
        <v>57</v>
      </c>
      <c r="X19" s="215" t="e">
        <f>1.65*X16*(C15+Y4)</f>
        <v>#VALUE!</v>
      </c>
      <c r="Y19" s="215" t="e">
        <f>1.65*F22*(C15+Y4)</f>
        <v>#VALUE!</v>
      </c>
      <c r="Z19" s="215" t="e">
        <f>1.65*I22*(C15+Y4)</f>
        <v>#VALUE!</v>
      </c>
      <c r="AA19" s="215" t="e">
        <f>1.65*L22*(C15+Y4)</f>
        <v>#VALUE!</v>
      </c>
      <c r="AB19" s="216"/>
      <c r="AC19" s="216"/>
      <c r="AD19" s="220"/>
      <c r="AE19" s="220"/>
      <c r="AF19" s="220"/>
    </row>
    <row r="20" spans="1:32" x14ac:dyDescent="0.35">
      <c r="A20" s="127" t="s">
        <v>58</v>
      </c>
      <c r="B20" s="243" t="str">
        <f>IF(V1=1,"",Z14)</f>
        <v/>
      </c>
      <c r="C20" s="259" t="str">
        <f>IF(V1=1,"",AA14)</f>
        <v/>
      </c>
      <c r="D20" s="260"/>
      <c r="E20" s="204"/>
      <c r="F20" s="202" t="str">
        <f>IF(V1=1,"",VLOOKUP($X$3,W_Fläche!$A$2:$AE$515,9))</f>
        <v/>
      </c>
      <c r="G20" s="203"/>
      <c r="H20" s="202"/>
      <c r="I20" s="202" t="str">
        <f>IF(V1=1,"",VLOOKUP($X$3,W_Fläche!$A$2:$AE$515,10))</f>
        <v/>
      </c>
      <c r="J20" s="203"/>
      <c r="K20" s="204"/>
      <c r="L20" s="202" t="str">
        <f>IF(V1=1,"",VLOOKUP($X$3,W_Fläche!$A$2:$AE$515,15))</f>
        <v/>
      </c>
      <c r="M20" s="203"/>
      <c r="N20" s="201" t="str">
        <f>IF(V1=1,"",IF(OR(C3=1,C3=2),"Endteil real nicht vorhanden!",""))</f>
        <v/>
      </c>
      <c r="O20" s="201"/>
      <c r="P20" s="201"/>
      <c r="Q20" s="201"/>
      <c r="R20" s="205"/>
      <c r="S20" s="191"/>
      <c r="T20" s="191"/>
      <c r="U20" s="37">
        <v>18</v>
      </c>
      <c r="V20" s="37" t="s">
        <v>4</v>
      </c>
      <c r="W20" s="21" t="s">
        <v>59</v>
      </c>
      <c r="X20" s="215" t="e">
        <f>2.1*X16*(C16)</f>
        <v>#VALUE!</v>
      </c>
      <c r="Y20" s="215" t="e">
        <f>2.1*F22*(C16)</f>
        <v>#VALUE!</v>
      </c>
      <c r="Z20" s="215" t="e">
        <f>2.1*I22*(C16)</f>
        <v>#VALUE!</v>
      </c>
      <c r="AA20" s="215" t="e">
        <f>2.1*L22*(C16)</f>
        <v>#VALUE!</v>
      </c>
      <c r="AB20" s="216"/>
      <c r="AC20" s="216"/>
      <c r="AD20" s="220"/>
      <c r="AE20" s="220"/>
      <c r="AF20" s="220"/>
    </row>
    <row r="21" spans="1:32" x14ac:dyDescent="0.35">
      <c r="A21" s="123" t="s">
        <v>60</v>
      </c>
      <c r="B21" s="206" t="str">
        <f>IF(V1=1,"",X15+Y15)</f>
        <v/>
      </c>
      <c r="C21" s="206"/>
      <c r="D21" s="207"/>
      <c r="E21" s="206"/>
      <c r="F21" s="206" t="str">
        <f>IF(V1=1,"",Z15+AA15)</f>
        <v/>
      </c>
      <c r="G21" s="207"/>
      <c r="H21" s="206"/>
      <c r="I21" s="206" t="str">
        <f>IF(V1=1,"",AB15+AC15)</f>
        <v/>
      </c>
      <c r="J21" s="207"/>
      <c r="K21" s="206"/>
      <c r="L21" s="206" t="str">
        <f>IF(V1=1,"",AD15+AE15)</f>
        <v/>
      </c>
      <c r="M21" s="207"/>
      <c r="N21" s="208"/>
      <c r="O21" s="208"/>
      <c r="P21" s="208"/>
      <c r="Q21" s="208"/>
      <c r="R21" s="209"/>
      <c r="S21" s="191"/>
      <c r="T21" s="191"/>
      <c r="U21" s="37">
        <v>19</v>
      </c>
      <c r="V21" s="37" t="s">
        <v>4</v>
      </c>
      <c r="W21" s="21" t="s">
        <v>61</v>
      </c>
      <c r="X21" s="215" t="e">
        <f>X16*(C15-0.025)</f>
        <v>#VALUE!</v>
      </c>
      <c r="Y21" s="215" t="e">
        <f>F22*(C15-0.025)</f>
        <v>#VALUE!</v>
      </c>
      <c r="Z21" s="215" t="e">
        <f>I22*(C15-0.025)</f>
        <v>#VALUE!</v>
      </c>
      <c r="AA21" s="215" t="e">
        <f>L22*(C15-0.025)</f>
        <v>#VALUE!</v>
      </c>
      <c r="AB21" s="216"/>
      <c r="AC21" s="216"/>
      <c r="AD21" s="220"/>
      <c r="AE21" s="220"/>
      <c r="AF21" s="220"/>
    </row>
    <row r="22" spans="1:32" x14ac:dyDescent="0.35">
      <c r="A22" s="123" t="s">
        <v>62</v>
      </c>
      <c r="B22" s="206" t="str">
        <f>IF(V1=1,"",(AA14+Z14)*B21)</f>
        <v/>
      </c>
      <c r="C22" s="210" t="str">
        <f>IF(B22="","","inkl. Sw v. WA")</f>
        <v/>
      </c>
      <c r="D22" s="207"/>
      <c r="E22" s="206"/>
      <c r="F22" s="206" t="str">
        <f>IF(V1=1,"",F20*F21)</f>
        <v/>
      </c>
      <c r="G22" s="207"/>
      <c r="H22" s="206"/>
      <c r="I22" s="206" t="str">
        <f>IF(V1=1,"",I20*I21)</f>
        <v/>
      </c>
      <c r="J22" s="207"/>
      <c r="K22" s="206"/>
      <c r="L22" s="206" t="str">
        <f>IF(V1=1,"",L20*L21)</f>
        <v/>
      </c>
      <c r="M22" s="207"/>
      <c r="N22" s="208" t="str">
        <f>IF(V1=1,"","Fläche inkl. Schotter vor Kopf")</f>
        <v/>
      </c>
      <c r="O22" s="208"/>
      <c r="P22" s="208"/>
      <c r="Q22" s="208"/>
      <c r="R22" s="209"/>
      <c r="S22" s="191"/>
      <c r="T22" s="191"/>
      <c r="U22" s="37">
        <v>20</v>
      </c>
      <c r="V22" s="37" t="s">
        <v>63</v>
      </c>
      <c r="W22" s="21" t="s">
        <v>64</v>
      </c>
      <c r="X22" s="215" t="e">
        <f>X16*(C16)</f>
        <v>#VALUE!</v>
      </c>
      <c r="Y22" s="215" t="e">
        <f>F22*($C16)</f>
        <v>#VALUE!</v>
      </c>
      <c r="Z22" s="215" t="e">
        <f>I22*($C16)</f>
        <v>#VALUE!</v>
      </c>
      <c r="AA22" s="215" t="e">
        <f>L22*($C16)</f>
        <v>#VALUE!</v>
      </c>
      <c r="AB22" s="216"/>
      <c r="AC22" s="216"/>
      <c r="AD22" s="220"/>
      <c r="AE22" s="220"/>
      <c r="AF22" s="220"/>
    </row>
    <row r="23" spans="1:32" x14ac:dyDescent="0.35">
      <c r="A23" s="123" t="s">
        <v>65</v>
      </c>
      <c r="B23" s="206" t="str">
        <f>IF(V1=1,"",X17)</f>
        <v/>
      </c>
      <c r="C23" s="208"/>
      <c r="D23" s="209"/>
      <c r="E23" s="208"/>
      <c r="F23" s="208" t="str">
        <f>IF(V1=1,"",Y17)</f>
        <v/>
      </c>
      <c r="G23" s="209"/>
      <c r="H23" s="208"/>
      <c r="I23" s="208" t="str">
        <f>IF(V1=1,"",Z17)</f>
        <v/>
      </c>
      <c r="J23" s="209"/>
      <c r="K23" s="208"/>
      <c r="L23" s="208" t="str">
        <f>IF(V1=1,"",AA17)</f>
        <v/>
      </c>
      <c r="M23" s="209"/>
      <c r="N23" s="208" t="str">
        <f>IF(V1=1,"","Aushubvolumen")</f>
        <v/>
      </c>
      <c r="O23" s="208"/>
      <c r="P23" s="208"/>
      <c r="Q23" s="208"/>
      <c r="R23" s="209"/>
      <c r="S23" s="191"/>
      <c r="T23" s="191"/>
      <c r="U23" s="37">
        <v>21</v>
      </c>
      <c r="V23" s="37" t="s">
        <v>63</v>
      </c>
      <c r="W23" s="21" t="s">
        <v>66</v>
      </c>
      <c r="X23" s="215"/>
      <c r="Y23" s="215"/>
      <c r="Z23" s="215"/>
      <c r="AA23" s="215"/>
      <c r="AB23" s="216"/>
      <c r="AC23" s="216"/>
      <c r="AD23" s="220"/>
      <c r="AE23" s="220"/>
      <c r="AF23" s="220"/>
    </row>
    <row r="24" spans="1:32" x14ac:dyDescent="0.35">
      <c r="A24" s="123" t="s">
        <v>67</v>
      </c>
      <c r="B24" s="206" t="str">
        <f>IF(V1=1,"",X19)</f>
        <v/>
      </c>
      <c r="C24" s="206"/>
      <c r="D24" s="207"/>
      <c r="E24" s="206"/>
      <c r="F24" s="206" t="str">
        <f>IF(V1=1,"",Y19)</f>
        <v/>
      </c>
      <c r="G24" s="207"/>
      <c r="H24" s="206"/>
      <c r="I24" s="206" t="str">
        <f>IF(V1=1,"",Z19)</f>
        <v/>
      </c>
      <c r="J24" s="207"/>
      <c r="K24" s="206"/>
      <c r="L24" s="206" t="str">
        <f>IF(V1=1,"",AA19)</f>
        <v/>
      </c>
      <c r="M24" s="207"/>
      <c r="N24" s="208" t="str">
        <f>IF(V1=1,"","Schottereinbaugewicht")</f>
        <v/>
      </c>
      <c r="O24" s="208"/>
      <c r="P24" s="208"/>
      <c r="Q24" s="208"/>
      <c r="R24" s="209"/>
      <c r="S24" s="191"/>
      <c r="T24" s="191"/>
      <c r="U24" s="37">
        <v>22</v>
      </c>
      <c r="V24" s="37" t="s">
        <v>63</v>
      </c>
      <c r="W24" s="21" t="s">
        <v>68</v>
      </c>
      <c r="X24" s="215"/>
      <c r="Y24" s="215"/>
      <c r="Z24" s="215"/>
      <c r="AA24" s="215"/>
      <c r="AB24" s="216"/>
      <c r="AC24" s="216"/>
      <c r="AD24" s="220"/>
      <c r="AE24" s="220"/>
      <c r="AF24" s="220"/>
    </row>
    <row r="25" spans="1:32" x14ac:dyDescent="0.35">
      <c r="A25" s="123" t="s">
        <v>69</v>
      </c>
      <c r="B25" s="206" t="str">
        <f>IF(V1=1,"",X20)</f>
        <v/>
      </c>
      <c r="C25" s="206"/>
      <c r="D25" s="207"/>
      <c r="E25" s="206"/>
      <c r="F25" s="206" t="str">
        <f>IF(V1=1,"",Y20)</f>
        <v/>
      </c>
      <c r="G25" s="207"/>
      <c r="H25" s="206"/>
      <c r="I25" s="206" t="str">
        <f>IF(V1=1,"",Z20)</f>
        <v/>
      </c>
      <c r="J25" s="207"/>
      <c r="K25" s="206"/>
      <c r="L25" s="206" t="str">
        <f>IF(V1=1,"",AA20)</f>
        <v/>
      </c>
      <c r="M25" s="207"/>
      <c r="N25" s="208" t="str">
        <f>IF(V1=1,"","PSS-Einbaugewicht")</f>
        <v/>
      </c>
      <c r="O25" s="208"/>
      <c r="P25" s="208"/>
      <c r="Q25" s="208"/>
      <c r="R25" s="209"/>
      <c r="S25" s="191"/>
      <c r="T25" s="191"/>
      <c r="U25" s="37">
        <v>23</v>
      </c>
      <c r="V25" s="37" t="s">
        <v>63</v>
      </c>
      <c r="W25" s="21" t="s">
        <v>70</v>
      </c>
      <c r="X25" s="215"/>
      <c r="Y25" s="215"/>
      <c r="Z25" s="215"/>
      <c r="AA25" s="215"/>
      <c r="AB25" s="216"/>
      <c r="AC25" s="216"/>
      <c r="AD25" s="220"/>
      <c r="AE25" s="220"/>
      <c r="AF25" s="220"/>
    </row>
    <row r="26" spans="1:32" x14ac:dyDescent="0.35">
      <c r="A26" s="213"/>
      <c r="B26" s="211"/>
      <c r="C26" s="211"/>
      <c r="D26" s="211"/>
      <c r="E26" s="211"/>
      <c r="F26" s="211"/>
      <c r="G26" s="211"/>
      <c r="H26" s="211"/>
      <c r="I26" s="211"/>
      <c r="J26" s="211"/>
      <c r="K26" s="211"/>
      <c r="L26" s="211"/>
      <c r="M26" s="211"/>
      <c r="N26" s="211"/>
      <c r="O26" s="211"/>
      <c r="P26" s="211"/>
      <c r="Q26" s="211"/>
      <c r="R26" s="211"/>
      <c r="S26" s="191"/>
      <c r="T26" s="191"/>
      <c r="U26" s="37">
        <v>24</v>
      </c>
      <c r="V26" s="37" t="s">
        <v>63</v>
      </c>
      <c r="W26" s="21" t="s">
        <v>71</v>
      </c>
      <c r="X26" s="215"/>
      <c r="Y26" s="215"/>
      <c r="Z26" s="215"/>
      <c r="AA26" s="215"/>
      <c r="AB26" s="216"/>
      <c r="AC26" s="216"/>
      <c r="AD26" s="220"/>
      <c r="AE26" s="220"/>
      <c r="AF26" s="220"/>
    </row>
    <row r="27" spans="1:32" x14ac:dyDescent="0.35">
      <c r="A27" s="214" t="s">
        <v>72</v>
      </c>
      <c r="B27" s="191"/>
      <c r="C27" s="191"/>
      <c r="D27" s="191"/>
      <c r="E27" s="191"/>
      <c r="F27" s="191"/>
      <c r="G27" s="191"/>
      <c r="H27" s="191"/>
      <c r="I27" s="191"/>
      <c r="J27" s="191"/>
      <c r="K27" s="191"/>
      <c r="L27" s="191"/>
      <c r="M27" s="191"/>
      <c r="N27" s="191"/>
      <c r="O27" s="191"/>
      <c r="P27" s="191"/>
      <c r="Q27" s="191"/>
      <c r="R27" s="191"/>
      <c r="S27" s="191"/>
      <c r="T27" s="191"/>
      <c r="U27" s="37">
        <v>25</v>
      </c>
      <c r="V27" s="37" t="s">
        <v>63</v>
      </c>
      <c r="W27" s="21" t="s">
        <v>73</v>
      </c>
      <c r="X27" s="215"/>
      <c r="Y27" s="215"/>
      <c r="Z27" s="215"/>
      <c r="AA27" s="215"/>
      <c r="AB27" s="216"/>
      <c r="AC27" s="216"/>
      <c r="AD27" s="220"/>
      <c r="AE27" s="220"/>
      <c r="AF27" s="220"/>
    </row>
    <row r="28" spans="1:32" x14ac:dyDescent="0.35">
      <c r="A28" s="123" t="s">
        <v>74</v>
      </c>
      <c r="B28" s="227" t="str">
        <f>IF(V1=1,"",F20+I20+AA14-Z14)</f>
        <v/>
      </c>
      <c r="C28" s="228" t="s">
        <v>17</v>
      </c>
      <c r="D28" s="212" t="str">
        <f>IF(C3=0,"","WA - WE")</f>
        <v/>
      </c>
      <c r="E28" s="208"/>
      <c r="F28" s="208"/>
      <c r="G28" s="208"/>
      <c r="H28" s="208"/>
      <c r="I28" s="208"/>
      <c r="J28" s="208"/>
      <c r="K28" s="208"/>
      <c r="L28" s="208"/>
      <c r="M28" s="209"/>
      <c r="N28" s="191"/>
      <c r="O28" s="191"/>
      <c r="P28" s="191"/>
      <c r="Q28" s="191"/>
      <c r="R28" s="191"/>
      <c r="S28" s="191"/>
      <c r="T28" s="191"/>
      <c r="U28" s="37">
        <v>26</v>
      </c>
      <c r="V28" s="37" t="s">
        <v>63</v>
      </c>
      <c r="W28" s="21" t="s">
        <v>75</v>
      </c>
      <c r="X28" s="215"/>
      <c r="Y28" s="215"/>
      <c r="Z28" s="215"/>
      <c r="AA28" s="215"/>
      <c r="AB28" s="216"/>
      <c r="AC28" s="216"/>
      <c r="AD28" s="220"/>
      <c r="AE28" s="220"/>
      <c r="AF28" s="220"/>
    </row>
    <row r="29" spans="1:32" x14ac:dyDescent="0.35">
      <c r="A29" s="123" t="s">
        <v>76</v>
      </c>
      <c r="B29" s="227" t="str">
        <f>IF(V1=1,"",Y14+L134+Z14)</f>
        <v/>
      </c>
      <c r="C29" s="228" t="s">
        <v>17</v>
      </c>
      <c r="D29" s="212" t="str">
        <f>IF(C3=0,"","inkl. Endteil u. Sw vor WA")</f>
        <v/>
      </c>
      <c r="E29" s="208"/>
      <c r="F29" s="208"/>
      <c r="G29" s="208"/>
      <c r="H29" s="208"/>
      <c r="I29" s="208"/>
      <c r="J29" s="208"/>
      <c r="K29" s="208"/>
      <c r="L29" s="208"/>
      <c r="M29" s="209"/>
      <c r="N29" s="191"/>
      <c r="O29" s="191"/>
      <c r="P29" s="191"/>
      <c r="Q29" s="191"/>
      <c r="R29" s="191"/>
      <c r="S29" s="191"/>
      <c r="T29" s="191"/>
      <c r="U29" s="37">
        <v>27</v>
      </c>
      <c r="V29" s="37" t="s">
        <v>63</v>
      </c>
      <c r="W29" s="21" t="s">
        <v>77</v>
      </c>
      <c r="X29" s="215"/>
      <c r="Y29" s="215"/>
      <c r="Z29" s="215"/>
      <c r="AA29" s="215"/>
      <c r="AB29" s="216"/>
      <c r="AC29" s="216"/>
      <c r="AD29" s="220"/>
      <c r="AE29" s="220"/>
      <c r="AF29" s="220"/>
    </row>
    <row r="30" spans="1:32" x14ac:dyDescent="0.35">
      <c r="A30" s="126" t="s">
        <v>78</v>
      </c>
      <c r="B30" s="229" t="str">
        <f>IF(V1=1,"",VLOOKUP(C3,Daten!A42:AO146,29))</f>
        <v/>
      </c>
      <c r="C30" s="230" t="s">
        <v>17</v>
      </c>
      <c r="D30" s="212"/>
      <c r="E30" s="208"/>
      <c r="F30" s="208"/>
      <c r="G30" s="208"/>
      <c r="H30" s="208"/>
      <c r="I30" s="208"/>
      <c r="J30" s="208"/>
      <c r="K30" s="208"/>
      <c r="L30" s="208"/>
      <c r="M30" s="209"/>
      <c r="N30" s="191"/>
      <c r="O30" s="191"/>
      <c r="P30" s="191"/>
      <c r="Q30" s="191"/>
      <c r="R30" s="191"/>
      <c r="S30" s="191"/>
      <c r="T30" s="191"/>
      <c r="U30" s="37">
        <v>28</v>
      </c>
      <c r="V30" s="37" t="s">
        <v>63</v>
      </c>
      <c r="W30" s="21" t="s">
        <v>79</v>
      </c>
      <c r="X30" s="215"/>
      <c r="Y30" s="215"/>
      <c r="Z30" s="215"/>
      <c r="AA30" s="215"/>
      <c r="AB30" s="216"/>
      <c r="AC30" s="216"/>
      <c r="AD30" s="220"/>
      <c r="AE30" s="220"/>
      <c r="AF30" s="220"/>
    </row>
    <row r="31" spans="1:32" x14ac:dyDescent="0.35">
      <c r="A31" s="123" t="s">
        <v>80</v>
      </c>
      <c r="B31" s="227" t="str">
        <f>IF(V1=1,"",F22+I22+L22+X16)</f>
        <v/>
      </c>
      <c r="C31" s="228" t="s">
        <v>81</v>
      </c>
      <c r="D31" s="212" t="str">
        <f>IF(C3=0,"",IF(L22=0,"","inkl. Endteil u. Sw vor WA"))</f>
        <v/>
      </c>
      <c r="E31" s="208"/>
      <c r="F31" s="208"/>
      <c r="G31" s="208"/>
      <c r="H31" s="208"/>
      <c r="I31" s="208"/>
      <c r="J31" s="208"/>
      <c r="K31" s="208"/>
      <c r="L31" s="208"/>
      <c r="M31" s="209"/>
      <c r="N31" s="191"/>
      <c r="O31" s="191"/>
      <c r="P31" s="191"/>
      <c r="Q31" s="191"/>
      <c r="R31" s="191"/>
      <c r="S31" s="191"/>
      <c r="T31" s="191"/>
      <c r="U31" s="37">
        <v>29</v>
      </c>
      <c r="V31" s="37" t="s">
        <v>63</v>
      </c>
      <c r="W31" s="21" t="s">
        <v>82</v>
      </c>
      <c r="X31" s="215"/>
      <c r="Y31" s="215"/>
      <c r="Z31" s="215"/>
      <c r="AA31" s="215"/>
      <c r="AB31" s="216"/>
      <c r="AC31" s="216"/>
      <c r="AD31" s="220"/>
      <c r="AE31" s="220"/>
      <c r="AF31" s="220"/>
    </row>
    <row r="32" spans="1:32" x14ac:dyDescent="0.35">
      <c r="A32" s="123" t="s">
        <v>83</v>
      </c>
      <c r="B32" s="227" t="str">
        <f>IF(V1=1,"",F23+I23+L23+X17)</f>
        <v/>
      </c>
      <c r="C32" s="228" t="s">
        <v>34</v>
      </c>
      <c r="D32" s="212" t="str">
        <f>IF(C3=0,"",IF(L23=0,"","inkl. Endteil u. Sw vor WA"))</f>
        <v/>
      </c>
      <c r="E32" s="208"/>
      <c r="F32" s="208"/>
      <c r="G32" s="208"/>
      <c r="H32" s="208"/>
      <c r="I32" s="208"/>
      <c r="J32" s="208"/>
      <c r="K32" s="208"/>
      <c r="L32" s="208"/>
      <c r="M32" s="209"/>
      <c r="N32" s="191"/>
      <c r="O32" s="191"/>
      <c r="P32" s="191"/>
      <c r="Q32" s="191"/>
      <c r="R32" s="191"/>
      <c r="S32" s="191"/>
      <c r="T32" s="191"/>
      <c r="U32" s="37">
        <v>30</v>
      </c>
      <c r="V32" s="37" t="s">
        <v>63</v>
      </c>
      <c r="W32" s="21" t="s">
        <v>84</v>
      </c>
      <c r="X32" s="215"/>
      <c r="Y32" s="215"/>
      <c r="Z32" s="215"/>
      <c r="AA32" s="215"/>
      <c r="AB32" s="216"/>
      <c r="AC32" s="216"/>
      <c r="AD32" s="252"/>
      <c r="AE32" s="252"/>
      <c r="AF32" s="252"/>
    </row>
    <row r="33" spans="1:32" x14ac:dyDescent="0.35">
      <c r="A33" s="123" t="s">
        <v>85</v>
      </c>
      <c r="B33" s="227" t="str">
        <f>IF(V1=1,"",B24+F24+I24+L24)</f>
        <v/>
      </c>
      <c r="C33" s="228" t="s">
        <v>40</v>
      </c>
      <c r="D33" s="212" t="str">
        <f>IF(C3=0,"",IF(L24=0,"","inkl. Endteil u. Sw vor WA"))</f>
        <v/>
      </c>
      <c r="E33" s="208"/>
      <c r="F33" s="208"/>
      <c r="G33" s="208"/>
      <c r="H33" s="208"/>
      <c r="I33" s="208"/>
      <c r="J33" s="208"/>
      <c r="K33" s="208"/>
      <c r="L33" s="208"/>
      <c r="M33" s="209"/>
      <c r="N33" s="191"/>
      <c r="O33" s="191"/>
      <c r="P33" s="191"/>
      <c r="Q33" s="191"/>
      <c r="R33" s="191"/>
      <c r="S33" s="191"/>
      <c r="T33" s="191"/>
      <c r="U33" s="37">
        <v>31</v>
      </c>
      <c r="V33" s="37" t="s">
        <v>63</v>
      </c>
      <c r="W33" s="21" t="s">
        <v>86</v>
      </c>
      <c r="X33" s="215"/>
      <c r="Y33" s="215"/>
      <c r="Z33" s="215"/>
      <c r="AA33" s="215"/>
      <c r="AB33" s="216"/>
      <c r="AC33" s="216"/>
      <c r="AD33" s="252"/>
      <c r="AE33" s="252"/>
      <c r="AF33" s="252"/>
    </row>
    <row r="34" spans="1:32" x14ac:dyDescent="0.35">
      <c r="A34" s="126" t="s">
        <v>87</v>
      </c>
      <c r="B34" s="229" t="str">
        <f>IF(V1=1,"",B25+F25+I25+L25)</f>
        <v/>
      </c>
      <c r="C34" s="230" t="s">
        <v>40</v>
      </c>
      <c r="D34" s="213" t="str">
        <f>IF(C3=0,"",IF(L25=0,"","inkl. Endteil u. Sw vor WA"))</f>
        <v/>
      </c>
      <c r="E34" s="211"/>
      <c r="F34" s="211"/>
      <c r="G34" s="211"/>
      <c r="H34" s="211"/>
      <c r="I34" s="211"/>
      <c r="J34" s="211"/>
      <c r="K34" s="211"/>
      <c r="L34" s="211"/>
      <c r="M34" s="233"/>
      <c r="N34" s="191"/>
      <c r="O34" s="191"/>
      <c r="P34" s="191"/>
      <c r="Q34" s="191"/>
      <c r="R34" s="191"/>
      <c r="S34" s="191"/>
      <c r="T34" s="191"/>
      <c r="U34" s="37">
        <v>32</v>
      </c>
      <c r="V34" s="37" t="s">
        <v>63</v>
      </c>
      <c r="W34" s="21" t="s">
        <v>88</v>
      </c>
      <c r="X34" s="215"/>
      <c r="Y34" s="215"/>
      <c r="Z34" s="215"/>
      <c r="AA34" s="215"/>
      <c r="AB34" s="216"/>
      <c r="AC34" s="216"/>
      <c r="AD34" s="252"/>
      <c r="AE34" s="252"/>
      <c r="AF34" s="252"/>
    </row>
    <row r="35" spans="1:32" x14ac:dyDescent="0.35">
      <c r="A35" s="251" t="s">
        <v>89</v>
      </c>
      <c r="B35" s="227"/>
      <c r="C35" s="228" t="s">
        <v>90</v>
      </c>
      <c r="D35" s="212" t="str">
        <f>IF(C3=0,"","benötigte Wagen zur Aufnahme")</f>
        <v/>
      </c>
      <c r="E35" s="208"/>
      <c r="F35" s="208"/>
      <c r="G35" s="208"/>
      <c r="H35" s="208"/>
      <c r="I35" s="208"/>
      <c r="J35" s="208"/>
      <c r="K35" s="208"/>
      <c r="L35" s="208"/>
      <c r="M35" s="209"/>
      <c r="N35" s="191"/>
      <c r="O35" s="191"/>
      <c r="P35" s="191"/>
      <c r="Q35" s="191"/>
      <c r="R35" s="191"/>
      <c r="S35" s="191"/>
      <c r="T35" s="191"/>
      <c r="U35" s="37">
        <v>33</v>
      </c>
      <c r="V35" s="37" t="s">
        <v>63</v>
      </c>
      <c r="W35" s="21" t="s">
        <v>91</v>
      </c>
      <c r="X35" s="215"/>
      <c r="Y35" s="215"/>
      <c r="Z35" s="215"/>
      <c r="AA35" s="215"/>
      <c r="AB35" s="216"/>
      <c r="AC35" s="216"/>
      <c r="AD35" s="252"/>
      <c r="AE35" s="252"/>
      <c r="AF35" s="252"/>
    </row>
    <row r="36" spans="1:32" x14ac:dyDescent="0.35">
      <c r="A36" s="251" t="s">
        <v>92</v>
      </c>
      <c r="B36" s="227"/>
      <c r="C36" s="228" t="s">
        <v>90</v>
      </c>
      <c r="D36" s="212" t="str">
        <f>IF(C3=0,"","benötigte Wagen zur Aufnahme")</f>
        <v/>
      </c>
      <c r="E36" s="208"/>
      <c r="F36" s="208"/>
      <c r="G36" s="208"/>
      <c r="H36" s="208"/>
      <c r="I36" s="208"/>
      <c r="J36" s="208"/>
      <c r="K36" s="208"/>
      <c r="L36" s="208"/>
      <c r="M36" s="209"/>
      <c r="N36" s="191"/>
      <c r="O36" s="191"/>
      <c r="P36" s="191"/>
      <c r="Q36" s="191"/>
      <c r="R36" s="191"/>
      <c r="S36" s="191"/>
      <c r="T36" s="191"/>
      <c r="U36" s="37">
        <v>34</v>
      </c>
      <c r="V36" s="37" t="s">
        <v>63</v>
      </c>
      <c r="W36" s="21" t="s">
        <v>93</v>
      </c>
      <c r="X36" s="215"/>
      <c r="Y36" s="215"/>
      <c r="Z36" s="215"/>
      <c r="AA36" s="215"/>
      <c r="AB36" s="216"/>
      <c r="AC36" s="216"/>
      <c r="AD36" s="252"/>
      <c r="AE36" s="252"/>
      <c r="AF36" s="252"/>
    </row>
    <row r="37" spans="1:32" x14ac:dyDescent="0.35">
      <c r="A37" s="251" t="s">
        <v>94</v>
      </c>
      <c r="B37" s="227"/>
      <c r="C37" s="228" t="s">
        <v>90</v>
      </c>
      <c r="D37" s="212" t="str">
        <f>IF(C4=0,"","benötigte Wagen zur Aufnahme")</f>
        <v/>
      </c>
      <c r="E37" s="208"/>
      <c r="F37" s="208"/>
      <c r="G37" s="208"/>
      <c r="H37" s="208"/>
      <c r="I37" s="208"/>
      <c r="J37" s="208"/>
      <c r="K37" s="208"/>
      <c r="L37" s="208"/>
      <c r="M37" s="209"/>
      <c r="N37" s="191"/>
      <c r="O37" s="191"/>
      <c r="P37" s="191"/>
      <c r="Q37" s="191"/>
      <c r="R37" s="191"/>
      <c r="S37" s="191"/>
      <c r="T37" s="191"/>
      <c r="U37" s="37">
        <v>35</v>
      </c>
      <c r="V37" s="37" t="s">
        <v>63</v>
      </c>
      <c r="W37" s="21" t="s">
        <v>95</v>
      </c>
      <c r="X37" s="215" t="e">
        <f>1.65*(X21+Y21+Z21+AA21)</f>
        <v>#VALUE!</v>
      </c>
      <c r="Y37" s="215"/>
      <c r="Z37" s="215"/>
      <c r="AA37" s="215"/>
      <c r="AB37" s="216"/>
      <c r="AC37" s="216"/>
      <c r="AD37" s="252"/>
      <c r="AE37" s="252"/>
      <c r="AF37" s="252"/>
    </row>
    <row r="38" spans="1:32" x14ac:dyDescent="0.35">
      <c r="A38" s="251" t="s">
        <v>44</v>
      </c>
      <c r="B38" s="227"/>
      <c r="C38" s="228" t="s">
        <v>90</v>
      </c>
      <c r="D38" s="212" t="str">
        <f>IF(C5=0,"","benötigte Wagen zur Aufnahme")</f>
        <v/>
      </c>
      <c r="E38" s="208"/>
      <c r="F38" s="208"/>
      <c r="G38" s="208"/>
      <c r="H38" s="208"/>
      <c r="I38" s="208"/>
      <c r="J38" s="208"/>
      <c r="K38" s="208"/>
      <c r="L38" s="208"/>
      <c r="M38" s="209"/>
      <c r="N38" s="191"/>
      <c r="O38" s="191"/>
      <c r="P38" s="191"/>
      <c r="Q38" s="191"/>
      <c r="R38" s="191"/>
      <c r="S38" s="191"/>
      <c r="T38" s="191"/>
      <c r="U38" s="37">
        <v>36</v>
      </c>
      <c r="V38" s="37" t="s">
        <v>96</v>
      </c>
      <c r="W38" s="21" t="s">
        <v>97</v>
      </c>
      <c r="X38" s="215" t="e">
        <f>2.1*(X22+Y22+Z22+AA22)</f>
        <v>#VALUE!</v>
      </c>
      <c r="Y38" s="215"/>
      <c r="Z38" s="215"/>
      <c r="AA38" s="215"/>
      <c r="AB38" s="216"/>
      <c r="AC38" s="216"/>
      <c r="AD38" s="252"/>
      <c r="AE38" s="252"/>
      <c r="AF38" s="252"/>
    </row>
    <row r="39" spans="1:32" x14ac:dyDescent="0.35">
      <c r="A39" s="191"/>
      <c r="B39" s="191"/>
      <c r="C39" s="191"/>
      <c r="D39" s="191"/>
      <c r="E39" s="191"/>
      <c r="F39" s="191"/>
      <c r="G39" s="191"/>
      <c r="H39" s="191"/>
      <c r="I39" s="191"/>
      <c r="J39" s="191"/>
      <c r="K39" s="191"/>
      <c r="L39" s="191"/>
      <c r="M39" s="191"/>
      <c r="N39" s="191"/>
      <c r="O39" s="191"/>
      <c r="P39" s="191"/>
      <c r="Q39" s="191"/>
      <c r="R39" s="191"/>
      <c r="S39" s="191"/>
      <c r="T39" s="191"/>
      <c r="U39" s="37">
        <v>37</v>
      </c>
      <c r="V39" s="37" t="s">
        <v>96</v>
      </c>
      <c r="W39" s="21" t="s">
        <v>98</v>
      </c>
      <c r="X39" s="215" t="e">
        <f>X16*(Y4+0.1)</f>
        <v>#VALUE!</v>
      </c>
      <c r="Y39" s="215" t="e">
        <f>F22*(Y4+0.1)</f>
        <v>#VALUE!</v>
      </c>
      <c r="Z39" s="215" t="e">
        <f>I22*(Y4+0.1)</f>
        <v>#VALUE!</v>
      </c>
      <c r="AA39" s="215" t="e">
        <f>L22*(Y4+0.1)</f>
        <v>#VALUE!</v>
      </c>
      <c r="AB39" s="216"/>
      <c r="AC39" s="216"/>
      <c r="AD39" s="252"/>
      <c r="AE39" s="252"/>
      <c r="AF39" s="252"/>
    </row>
    <row r="40" spans="1:32" x14ac:dyDescent="0.35">
      <c r="A40" s="218"/>
      <c r="B40" s="218"/>
      <c r="C40" s="218"/>
      <c r="D40" s="218"/>
      <c r="E40" s="218"/>
      <c r="F40" s="218"/>
      <c r="G40" s="218"/>
      <c r="H40" s="218"/>
      <c r="I40" s="218"/>
      <c r="J40" s="218"/>
      <c r="K40" s="218"/>
      <c r="L40" s="218"/>
      <c r="M40" s="218"/>
      <c r="N40" s="218"/>
      <c r="O40" s="218"/>
      <c r="P40" s="218"/>
      <c r="Q40" s="218"/>
      <c r="R40" s="218"/>
      <c r="S40" s="218"/>
      <c r="T40" s="191"/>
      <c r="U40" s="37">
        <v>38</v>
      </c>
      <c r="V40" s="37" t="s">
        <v>96</v>
      </c>
      <c r="W40" s="21" t="s">
        <v>99</v>
      </c>
      <c r="X40" s="215" t="e">
        <f>1.65*(X39+Y39+Z39+AA39)</f>
        <v>#VALUE!</v>
      </c>
      <c r="Y40" s="215"/>
      <c r="Z40" s="215"/>
      <c r="AA40" s="215"/>
      <c r="AB40" s="216"/>
      <c r="AC40" s="216"/>
      <c r="AD40" s="252"/>
      <c r="AE40" s="252"/>
      <c r="AF40" s="252"/>
    </row>
    <row r="41" spans="1:32" x14ac:dyDescent="0.35">
      <c r="A41" s="191"/>
      <c r="B41" s="191"/>
      <c r="C41" s="191"/>
      <c r="D41" s="191"/>
      <c r="E41" s="191"/>
      <c r="F41" s="191"/>
      <c r="G41" s="191"/>
      <c r="H41" s="191"/>
      <c r="I41" s="191"/>
      <c r="J41" s="191"/>
      <c r="K41" s="191"/>
      <c r="L41" s="191"/>
      <c r="M41" s="191"/>
      <c r="N41" s="191"/>
      <c r="O41" s="191"/>
      <c r="P41" s="191"/>
      <c r="Q41" s="191"/>
      <c r="R41" s="191"/>
      <c r="S41" s="191"/>
      <c r="T41" s="191"/>
      <c r="U41" s="37">
        <v>39</v>
      </c>
      <c r="V41" s="37" t="s">
        <v>96</v>
      </c>
      <c r="W41" s="21" t="s">
        <v>100</v>
      </c>
      <c r="X41" s="215"/>
      <c r="Y41" s="215"/>
      <c r="Z41" s="215"/>
      <c r="AA41" s="215"/>
      <c r="AB41" s="216"/>
      <c r="AC41" s="216"/>
      <c r="AD41" s="252"/>
      <c r="AE41" s="252"/>
      <c r="AF41" s="252"/>
    </row>
    <row r="42" spans="1:32" x14ac:dyDescent="0.35">
      <c r="A42" s="191"/>
      <c r="B42" s="191"/>
      <c r="C42" s="191"/>
      <c r="D42" s="191"/>
      <c r="E42" s="191"/>
      <c r="F42" s="191"/>
      <c r="G42" s="191"/>
      <c r="H42" s="191"/>
      <c r="I42" s="191"/>
      <c r="J42" s="191"/>
      <c r="K42" s="191"/>
      <c r="L42" s="191"/>
      <c r="M42" s="191"/>
      <c r="N42" s="191"/>
      <c r="O42" s="191"/>
      <c r="P42" s="191"/>
      <c r="Q42" s="191"/>
      <c r="R42" s="191"/>
      <c r="S42" s="191"/>
      <c r="T42" s="191"/>
      <c r="U42" s="37">
        <v>40</v>
      </c>
      <c r="V42" s="37" t="s">
        <v>101</v>
      </c>
      <c r="W42" s="21" t="s">
        <v>102</v>
      </c>
      <c r="X42" s="215"/>
      <c r="Y42" s="215"/>
      <c r="Z42" s="215"/>
      <c r="AA42" s="215"/>
      <c r="AB42" s="216"/>
      <c r="AC42" s="216"/>
      <c r="AD42" s="252"/>
      <c r="AE42" s="252"/>
      <c r="AF42" s="252"/>
    </row>
    <row r="43" spans="1:32" x14ac:dyDescent="0.35">
      <c r="A43" s="191"/>
      <c r="B43" s="191"/>
      <c r="C43" s="191"/>
      <c r="D43" s="191"/>
      <c r="E43" s="191"/>
      <c r="F43" s="191"/>
      <c r="G43" s="191"/>
      <c r="H43" s="191"/>
      <c r="I43" s="191"/>
      <c r="J43" s="191"/>
      <c r="K43" s="191"/>
      <c r="L43" s="191"/>
      <c r="M43" s="191"/>
      <c r="N43" s="191"/>
      <c r="O43" s="191"/>
      <c r="P43" s="191"/>
      <c r="Q43" s="191"/>
      <c r="R43" s="191"/>
      <c r="S43" s="191"/>
      <c r="T43" s="191"/>
      <c r="U43" s="37">
        <v>41</v>
      </c>
      <c r="V43" s="37" t="s">
        <v>101</v>
      </c>
      <c r="W43" s="21" t="s">
        <v>103</v>
      </c>
      <c r="X43" s="215"/>
      <c r="Y43" s="215"/>
      <c r="Z43" s="215"/>
      <c r="AA43" s="215"/>
      <c r="AB43" s="216"/>
      <c r="AC43" s="216"/>
      <c r="AD43" s="252"/>
      <c r="AE43" s="252"/>
      <c r="AF43" s="252"/>
    </row>
    <row r="44" spans="1:32" x14ac:dyDescent="0.35">
      <c r="A44" s="191"/>
      <c r="B44" s="191"/>
      <c r="C44" s="191"/>
      <c r="D44" s="191"/>
      <c r="E44" s="191"/>
      <c r="F44" s="191"/>
      <c r="G44" s="191"/>
      <c r="H44" s="191"/>
      <c r="I44" s="191"/>
      <c r="J44" s="191"/>
      <c r="K44" s="191"/>
      <c r="L44" s="191"/>
      <c r="M44" s="191"/>
      <c r="N44" s="191"/>
      <c r="O44" s="191"/>
      <c r="P44" s="191"/>
      <c r="Q44" s="191"/>
      <c r="R44" s="191"/>
      <c r="S44" s="191"/>
      <c r="T44" s="191"/>
      <c r="U44" s="37">
        <v>42</v>
      </c>
      <c r="V44" s="37" t="s">
        <v>101</v>
      </c>
      <c r="W44" s="21" t="s">
        <v>104</v>
      </c>
      <c r="X44" s="215"/>
      <c r="Y44" s="215"/>
      <c r="Z44" s="215"/>
      <c r="AA44" s="215"/>
      <c r="AB44" s="216"/>
      <c r="AC44" s="216"/>
      <c r="AD44" s="252"/>
      <c r="AE44" s="252"/>
      <c r="AF44" s="252"/>
    </row>
    <row r="45" spans="1:32" x14ac:dyDescent="0.35">
      <c r="A45" s="191"/>
      <c r="B45" s="191"/>
      <c r="C45" s="191"/>
      <c r="D45" s="191"/>
      <c r="E45" s="191"/>
      <c r="F45" s="191"/>
      <c r="G45" s="191"/>
      <c r="H45" s="191"/>
      <c r="I45" s="191"/>
      <c r="J45" s="191"/>
      <c r="K45" s="191"/>
      <c r="L45" s="191"/>
      <c r="M45" s="191"/>
      <c r="N45" s="191"/>
      <c r="O45" s="191"/>
      <c r="P45" s="191"/>
      <c r="Q45" s="191"/>
      <c r="R45" s="191"/>
      <c r="S45" s="191"/>
      <c r="T45" s="191"/>
      <c r="U45" s="37">
        <v>43</v>
      </c>
      <c r="V45" s="37" t="s">
        <v>101</v>
      </c>
      <c r="W45" s="21" t="s">
        <v>105</v>
      </c>
      <c r="X45" s="215"/>
      <c r="Y45" s="215"/>
      <c r="Z45" s="215"/>
      <c r="AA45" s="215"/>
      <c r="AB45" s="216"/>
      <c r="AC45" s="216"/>
      <c r="AD45" s="252"/>
      <c r="AE45" s="252"/>
      <c r="AF45" s="252"/>
    </row>
    <row r="46" spans="1:32" x14ac:dyDescent="0.35">
      <c r="A46" s="191"/>
      <c r="B46" s="191"/>
      <c r="C46" s="191"/>
      <c r="D46" s="191"/>
      <c r="E46" s="191"/>
      <c r="F46" s="191"/>
      <c r="G46" s="191"/>
      <c r="H46" s="191"/>
      <c r="I46" s="191"/>
      <c r="J46" s="191"/>
      <c r="K46" s="191"/>
      <c r="L46" s="191"/>
      <c r="M46" s="191"/>
      <c r="N46" s="191"/>
      <c r="O46" s="191"/>
      <c r="P46" s="191"/>
      <c r="Q46" s="191"/>
      <c r="R46" s="191"/>
      <c r="S46" s="191"/>
      <c r="T46" s="191"/>
      <c r="U46" s="37">
        <v>44</v>
      </c>
      <c r="V46" s="37" t="s">
        <v>4</v>
      </c>
      <c r="W46" s="21" t="s">
        <v>106</v>
      </c>
      <c r="X46" s="215"/>
      <c r="Y46" s="215"/>
      <c r="Z46" s="215"/>
      <c r="AA46" s="215"/>
      <c r="AB46" s="216"/>
      <c r="AC46" s="216"/>
      <c r="AD46" s="252"/>
      <c r="AE46" s="252"/>
      <c r="AF46" s="252"/>
    </row>
    <row r="47" spans="1:32" x14ac:dyDescent="0.35">
      <c r="A47" s="191"/>
      <c r="B47" s="191"/>
      <c r="C47" s="191"/>
      <c r="D47" s="191"/>
      <c r="E47" s="191"/>
      <c r="F47" s="191"/>
      <c r="G47" s="191"/>
      <c r="H47" s="191"/>
      <c r="I47" s="191"/>
      <c r="J47" s="191"/>
      <c r="K47" s="191"/>
      <c r="L47" s="191"/>
      <c r="M47" s="191"/>
      <c r="N47" s="191"/>
      <c r="O47" s="191"/>
      <c r="P47" s="191"/>
      <c r="Q47" s="191"/>
      <c r="R47" s="191"/>
      <c r="S47" s="191"/>
      <c r="T47" s="191"/>
      <c r="U47" s="37">
        <v>45</v>
      </c>
      <c r="V47" s="37" t="s">
        <v>4</v>
      </c>
      <c r="W47" s="21" t="s">
        <v>107</v>
      </c>
      <c r="X47" s="215"/>
      <c r="Y47" s="215"/>
      <c r="Z47" s="215"/>
      <c r="AA47" s="215"/>
      <c r="AB47" s="216"/>
      <c r="AC47" s="216"/>
      <c r="AD47" s="252"/>
      <c r="AE47" s="252"/>
      <c r="AF47" s="252"/>
    </row>
    <row r="48" spans="1:32" x14ac:dyDescent="0.35">
      <c r="A48" s="191"/>
      <c r="B48" s="191"/>
      <c r="C48" s="191"/>
      <c r="D48" s="191"/>
      <c r="E48" s="191"/>
      <c r="F48" s="191"/>
      <c r="G48" s="191"/>
      <c r="H48" s="191"/>
      <c r="I48" s="191"/>
      <c r="J48" s="191"/>
      <c r="K48" s="191"/>
      <c r="L48" s="191"/>
      <c r="M48" s="191"/>
      <c r="N48" s="191"/>
      <c r="O48" s="191"/>
      <c r="P48" s="191"/>
      <c r="Q48" s="191"/>
      <c r="R48" s="191"/>
      <c r="S48" s="191"/>
      <c r="T48" s="191"/>
      <c r="U48" s="37">
        <v>46</v>
      </c>
      <c r="V48" s="37" t="s">
        <v>4</v>
      </c>
      <c r="W48" s="21" t="s">
        <v>108</v>
      </c>
      <c r="X48" s="215"/>
      <c r="Y48" s="215"/>
      <c r="Z48" s="215"/>
      <c r="AA48" s="215"/>
      <c r="AB48" s="216"/>
      <c r="AC48" s="216"/>
      <c r="AD48" s="252"/>
      <c r="AE48" s="252"/>
      <c r="AF48" s="252"/>
    </row>
    <row r="49" spans="1:32" x14ac:dyDescent="0.35">
      <c r="A49" s="191"/>
      <c r="B49" s="191"/>
      <c r="C49" s="191"/>
      <c r="D49" s="191"/>
      <c r="E49" s="191"/>
      <c r="F49" s="191"/>
      <c r="G49" s="191"/>
      <c r="H49" s="191"/>
      <c r="I49" s="191"/>
      <c r="J49" s="191"/>
      <c r="K49" s="191"/>
      <c r="L49" s="191"/>
      <c r="M49" s="191"/>
      <c r="N49" s="191"/>
      <c r="O49" s="191"/>
      <c r="P49" s="191"/>
      <c r="Q49" s="191"/>
      <c r="R49" s="191"/>
      <c r="S49" s="191"/>
      <c r="T49" s="191"/>
      <c r="U49" s="37">
        <v>47</v>
      </c>
      <c r="V49" s="37" t="s">
        <v>4</v>
      </c>
      <c r="W49" s="21" t="s">
        <v>109</v>
      </c>
      <c r="X49" s="215"/>
      <c r="Y49" s="215"/>
      <c r="Z49" s="215"/>
      <c r="AA49" s="215"/>
      <c r="AB49" s="216"/>
      <c r="AC49" s="216"/>
      <c r="AD49" s="252"/>
      <c r="AE49" s="252"/>
      <c r="AF49" s="252"/>
    </row>
    <row r="50" spans="1:32" x14ac:dyDescent="0.35">
      <c r="A50" s="191"/>
      <c r="B50" s="191"/>
      <c r="C50" s="191"/>
      <c r="D50" s="191"/>
      <c r="E50" s="191"/>
      <c r="F50" s="191"/>
      <c r="G50" s="191"/>
      <c r="H50" s="191"/>
      <c r="I50" s="191"/>
      <c r="J50" s="191"/>
      <c r="K50" s="191"/>
      <c r="L50" s="191"/>
      <c r="M50" s="191"/>
      <c r="N50" s="191"/>
      <c r="O50" s="191"/>
      <c r="P50" s="191"/>
      <c r="Q50" s="191"/>
      <c r="R50" s="191"/>
      <c r="S50" s="191"/>
      <c r="T50" s="191"/>
      <c r="U50" s="37">
        <v>48</v>
      </c>
      <c r="V50" s="37" t="s">
        <v>4</v>
      </c>
      <c r="W50" s="21" t="s">
        <v>110</v>
      </c>
      <c r="X50" s="215"/>
      <c r="Y50" s="215"/>
      <c r="Z50" s="215"/>
      <c r="AA50" s="215"/>
      <c r="AB50" s="216"/>
      <c r="AC50" s="216"/>
      <c r="AD50" s="252"/>
      <c r="AE50" s="252"/>
      <c r="AF50" s="252"/>
    </row>
    <row r="51" spans="1:32" x14ac:dyDescent="0.35">
      <c r="A51" s="191"/>
      <c r="B51" s="191"/>
      <c r="C51" s="191"/>
      <c r="D51" s="191"/>
      <c r="E51" s="191"/>
      <c r="F51" s="191"/>
      <c r="G51" s="191"/>
      <c r="H51" s="191"/>
      <c r="I51" s="191"/>
      <c r="J51" s="191"/>
      <c r="K51" s="191"/>
      <c r="L51" s="191"/>
      <c r="M51" s="191"/>
      <c r="N51" s="191"/>
      <c r="O51" s="191"/>
      <c r="P51" s="191"/>
      <c r="Q51" s="191"/>
      <c r="R51" s="191"/>
      <c r="S51" s="191"/>
      <c r="T51" s="191"/>
      <c r="U51" s="37">
        <v>49</v>
      </c>
      <c r="V51" s="37" t="s">
        <v>18</v>
      </c>
      <c r="W51" s="21" t="s">
        <v>111</v>
      </c>
      <c r="X51" s="215"/>
      <c r="Y51" s="215"/>
      <c r="Z51" s="215"/>
      <c r="AA51" s="215"/>
      <c r="AB51" s="216"/>
      <c r="AC51" s="216"/>
      <c r="AD51" s="252"/>
      <c r="AE51" s="252"/>
      <c r="AF51" s="252"/>
    </row>
    <row r="52" spans="1:32" x14ac:dyDescent="0.35">
      <c r="A52" s="191"/>
      <c r="B52" s="191"/>
      <c r="C52" s="191"/>
      <c r="D52" s="191"/>
      <c r="E52" s="191"/>
      <c r="F52" s="191"/>
      <c r="G52" s="191"/>
      <c r="H52" s="191"/>
      <c r="I52" s="191"/>
      <c r="J52" s="191"/>
      <c r="K52" s="191"/>
      <c r="L52" s="191"/>
      <c r="M52" s="191"/>
      <c r="N52" s="191"/>
      <c r="O52" s="191"/>
      <c r="P52" s="191"/>
      <c r="Q52" s="191"/>
      <c r="R52" s="191"/>
      <c r="S52" s="191"/>
      <c r="T52" s="191"/>
      <c r="U52" s="37">
        <v>50</v>
      </c>
      <c r="V52" s="37" t="s">
        <v>18</v>
      </c>
      <c r="W52" s="21" t="s">
        <v>112</v>
      </c>
      <c r="X52" s="215"/>
      <c r="Y52" s="215"/>
      <c r="Z52" s="215"/>
      <c r="AA52" s="215"/>
      <c r="AB52" s="216"/>
      <c r="AC52" s="216"/>
      <c r="AD52" s="252"/>
      <c r="AE52" s="252"/>
      <c r="AF52" s="252"/>
    </row>
    <row r="53" spans="1:32" x14ac:dyDescent="0.35">
      <c r="A53" s="191"/>
      <c r="B53" s="191"/>
      <c r="C53" s="191"/>
      <c r="D53" s="191"/>
      <c r="E53" s="191"/>
      <c r="F53" s="191"/>
      <c r="G53" s="191"/>
      <c r="H53" s="191"/>
      <c r="I53" s="191"/>
      <c r="J53" s="191"/>
      <c r="K53" s="191"/>
      <c r="L53" s="191"/>
      <c r="M53" s="191"/>
      <c r="N53" s="191"/>
      <c r="O53" s="191"/>
      <c r="P53" s="191"/>
      <c r="Q53" s="191"/>
      <c r="R53" s="191"/>
      <c r="S53" s="191"/>
      <c r="T53" s="191"/>
      <c r="U53" s="37">
        <v>51</v>
      </c>
      <c r="V53" s="37" t="s">
        <v>4</v>
      </c>
      <c r="W53" s="21" t="s">
        <v>113</v>
      </c>
      <c r="X53" s="215"/>
      <c r="Y53" s="215"/>
      <c r="Z53" s="215"/>
      <c r="AA53" s="215"/>
      <c r="AB53" s="216"/>
      <c r="AC53" s="216"/>
      <c r="AD53" s="252"/>
      <c r="AE53" s="252"/>
      <c r="AF53" s="252"/>
    </row>
    <row r="54" spans="1:32" x14ac:dyDescent="0.35">
      <c r="A54" s="191"/>
      <c r="B54" s="191"/>
      <c r="C54" s="191"/>
      <c r="D54" s="191"/>
      <c r="E54" s="191"/>
      <c r="F54" s="191"/>
      <c r="G54" s="191"/>
      <c r="H54" s="191"/>
      <c r="I54" s="191"/>
      <c r="J54" s="191"/>
      <c r="K54" s="191"/>
      <c r="L54" s="191"/>
      <c r="M54" s="191"/>
      <c r="N54" s="191"/>
      <c r="O54" s="191"/>
      <c r="P54" s="191"/>
      <c r="Q54" s="191"/>
      <c r="R54" s="191"/>
      <c r="S54" s="191"/>
      <c r="T54" s="191"/>
      <c r="U54" s="37">
        <v>52</v>
      </c>
      <c r="V54" s="37" t="s">
        <v>4</v>
      </c>
      <c r="W54" s="21" t="s">
        <v>114</v>
      </c>
      <c r="X54" s="215"/>
      <c r="Y54" s="215"/>
      <c r="Z54" s="215"/>
      <c r="AA54" s="215"/>
      <c r="AB54" s="216"/>
      <c r="AC54" s="216"/>
      <c r="AD54" s="252"/>
      <c r="AE54" s="252"/>
      <c r="AF54" s="252"/>
    </row>
    <row r="55" spans="1:32" x14ac:dyDescent="0.35">
      <c r="A55" s="191"/>
      <c r="B55" s="191"/>
      <c r="C55" s="191"/>
      <c r="D55" s="191"/>
      <c r="E55" s="191"/>
      <c r="F55" s="191"/>
      <c r="G55" s="191"/>
      <c r="H55" s="191"/>
      <c r="I55" s="191"/>
      <c r="J55" s="191"/>
      <c r="K55" s="191"/>
      <c r="L55" s="191"/>
      <c r="M55" s="191"/>
      <c r="N55" s="191"/>
      <c r="O55" s="191"/>
      <c r="P55" s="191"/>
      <c r="Q55" s="191"/>
      <c r="R55" s="191"/>
      <c r="S55" s="191"/>
      <c r="T55" s="191"/>
      <c r="U55" s="37">
        <v>53</v>
      </c>
      <c r="V55" s="37" t="s">
        <v>4</v>
      </c>
      <c r="W55" s="21" t="s">
        <v>115</v>
      </c>
      <c r="X55" s="215"/>
      <c r="Y55" s="215"/>
      <c r="Z55" s="215"/>
      <c r="AA55" s="215"/>
      <c r="AB55" s="216"/>
      <c r="AC55" s="216"/>
      <c r="AD55" s="252"/>
      <c r="AE55" s="252"/>
      <c r="AF55" s="252"/>
    </row>
    <row r="56" spans="1:32" x14ac:dyDescent="0.35">
      <c r="A56" s="189"/>
      <c r="B56" s="189"/>
      <c r="C56" s="189"/>
      <c r="D56" s="189"/>
      <c r="E56" s="189"/>
      <c r="F56" s="189"/>
      <c r="G56" s="189"/>
      <c r="H56" s="189"/>
      <c r="I56" s="189"/>
      <c r="J56" s="189"/>
      <c r="K56" s="189"/>
      <c r="L56" s="189"/>
      <c r="M56" s="189"/>
      <c r="N56" s="189"/>
      <c r="O56" s="189"/>
      <c r="P56" s="189"/>
      <c r="Q56" s="189"/>
      <c r="R56" s="189"/>
      <c r="S56" s="189"/>
      <c r="T56" s="189"/>
      <c r="U56" s="37">
        <v>54</v>
      </c>
      <c r="V56" s="37" t="s">
        <v>4</v>
      </c>
      <c r="W56" s="21" t="s">
        <v>116</v>
      </c>
      <c r="X56" s="215"/>
      <c r="Y56" s="215"/>
      <c r="Z56" s="215"/>
      <c r="AA56" s="215"/>
      <c r="AB56" s="216"/>
      <c r="AC56" s="216"/>
      <c r="AD56" s="252"/>
      <c r="AE56" s="252"/>
      <c r="AF56" s="252"/>
    </row>
    <row r="57" spans="1:32" x14ac:dyDescent="0.35">
      <c r="A57" s="189"/>
      <c r="B57" s="189"/>
      <c r="C57" s="189"/>
      <c r="D57" s="189"/>
      <c r="E57" s="189"/>
      <c r="F57" s="189"/>
      <c r="G57" s="189"/>
      <c r="H57" s="189"/>
      <c r="I57" s="189"/>
      <c r="J57" s="189"/>
      <c r="K57" s="189"/>
      <c r="L57" s="189"/>
      <c r="M57" s="189"/>
      <c r="N57" s="189"/>
      <c r="O57" s="189"/>
      <c r="P57" s="189"/>
      <c r="Q57" s="189"/>
      <c r="R57" s="189"/>
      <c r="S57" s="189"/>
      <c r="T57" s="189"/>
      <c r="U57" s="21">
        <v>55</v>
      </c>
      <c r="V57" s="37" t="s">
        <v>4</v>
      </c>
      <c r="W57" s="21" t="s">
        <v>117</v>
      </c>
      <c r="X57" s="215"/>
      <c r="Y57" s="215"/>
      <c r="Z57" s="215"/>
      <c r="AA57" s="215"/>
      <c r="AB57" s="216"/>
      <c r="AC57" s="216"/>
      <c r="AD57" s="252"/>
      <c r="AE57" s="252"/>
      <c r="AF57" s="252"/>
    </row>
    <row r="58" spans="1:32" x14ac:dyDescent="0.35">
      <c r="A58" s="189"/>
      <c r="B58" s="189"/>
      <c r="C58" s="189"/>
      <c r="D58" s="189"/>
      <c r="E58" s="189"/>
      <c r="F58" s="189"/>
      <c r="G58" s="189"/>
      <c r="H58" s="189"/>
      <c r="I58" s="189"/>
      <c r="J58" s="189"/>
      <c r="K58" s="189"/>
      <c r="L58" s="189"/>
      <c r="M58" s="189"/>
      <c r="N58" s="189"/>
      <c r="O58" s="189"/>
      <c r="P58" s="189"/>
      <c r="Q58" s="189"/>
      <c r="R58" s="189"/>
      <c r="S58" s="189"/>
      <c r="T58" s="189"/>
      <c r="U58" s="21">
        <v>56</v>
      </c>
      <c r="V58" s="37" t="s">
        <v>4</v>
      </c>
      <c r="W58" s="21" t="s">
        <v>118</v>
      </c>
      <c r="X58" s="215"/>
      <c r="Y58" s="215"/>
      <c r="Z58" s="215"/>
      <c r="AA58" s="215"/>
      <c r="AB58" s="216"/>
      <c r="AC58" s="216"/>
      <c r="AD58" s="252"/>
      <c r="AE58" s="252"/>
      <c r="AF58" s="252"/>
    </row>
    <row r="59" spans="1:32" x14ac:dyDescent="0.35">
      <c r="A59" s="189"/>
      <c r="B59" s="189"/>
      <c r="C59" s="189"/>
      <c r="D59" s="189"/>
      <c r="E59" s="189"/>
      <c r="F59" s="189"/>
      <c r="G59" s="189"/>
      <c r="H59" s="189"/>
      <c r="I59" s="189"/>
      <c r="J59" s="189"/>
      <c r="K59" s="189"/>
      <c r="L59" s="189"/>
      <c r="M59" s="189"/>
      <c r="N59" s="189"/>
      <c r="O59" s="189"/>
      <c r="P59" s="189"/>
      <c r="Q59" s="189"/>
      <c r="R59" s="189"/>
      <c r="S59" s="189"/>
      <c r="T59" s="189"/>
      <c r="U59" s="37">
        <v>57</v>
      </c>
      <c r="V59" s="37" t="s">
        <v>4</v>
      </c>
      <c r="W59" s="21" t="s">
        <v>119</v>
      </c>
      <c r="X59" s="215"/>
      <c r="Y59" s="215"/>
      <c r="Z59" s="215"/>
      <c r="AA59" s="215"/>
      <c r="AB59" s="216"/>
      <c r="AC59" s="216"/>
      <c r="AD59" s="252"/>
      <c r="AE59" s="252"/>
      <c r="AF59" s="252"/>
    </row>
    <row r="60" spans="1:32" x14ac:dyDescent="0.35">
      <c r="A60" s="189"/>
      <c r="B60" s="189"/>
      <c r="C60" s="189"/>
      <c r="D60" s="189"/>
      <c r="E60" s="189"/>
      <c r="F60" s="189"/>
      <c r="G60" s="189"/>
      <c r="H60" s="189"/>
      <c r="I60" s="189"/>
      <c r="J60" s="189"/>
      <c r="K60" s="189"/>
      <c r="L60" s="189"/>
      <c r="M60" s="189"/>
      <c r="N60" s="189"/>
      <c r="O60" s="189"/>
      <c r="P60" s="189"/>
      <c r="Q60" s="189"/>
      <c r="R60" s="189"/>
      <c r="S60" s="189"/>
      <c r="T60" s="189"/>
      <c r="U60" s="37">
        <v>58</v>
      </c>
      <c r="V60" s="37" t="s">
        <v>4</v>
      </c>
      <c r="W60" s="21" t="s">
        <v>120</v>
      </c>
      <c r="X60" s="215"/>
      <c r="Y60" s="215"/>
      <c r="Z60" s="215"/>
      <c r="AA60" s="215"/>
      <c r="AB60" s="216"/>
      <c r="AC60" s="216"/>
      <c r="AD60" s="252"/>
      <c r="AE60" s="252"/>
      <c r="AF60" s="252"/>
    </row>
    <row r="61" spans="1:32" x14ac:dyDescent="0.35">
      <c r="A61" s="189"/>
      <c r="B61" s="189"/>
      <c r="C61" s="189"/>
      <c r="D61" s="189"/>
      <c r="E61" s="189"/>
      <c r="F61" s="189"/>
      <c r="G61" s="189"/>
      <c r="H61" s="189"/>
      <c r="I61" s="189"/>
      <c r="J61" s="189"/>
      <c r="K61" s="189"/>
      <c r="L61" s="189"/>
      <c r="M61" s="189"/>
      <c r="N61" s="189"/>
      <c r="O61" s="189"/>
      <c r="P61" s="189"/>
      <c r="Q61" s="189"/>
      <c r="R61" s="189"/>
      <c r="S61" s="189"/>
      <c r="T61" s="189"/>
      <c r="U61" s="37">
        <v>59</v>
      </c>
      <c r="V61" s="37" t="s">
        <v>4</v>
      </c>
      <c r="W61" s="21" t="s">
        <v>121</v>
      </c>
      <c r="X61" s="215"/>
      <c r="Y61" s="215"/>
      <c r="Z61" s="215"/>
      <c r="AA61" s="215"/>
      <c r="AB61" s="216"/>
      <c r="AC61" s="216"/>
      <c r="AD61" s="252"/>
      <c r="AE61" s="252"/>
      <c r="AF61" s="252"/>
    </row>
    <row r="62" spans="1:32" x14ac:dyDescent="0.35">
      <c r="A62" s="189"/>
      <c r="B62" s="189"/>
      <c r="C62" s="189"/>
      <c r="D62" s="189"/>
      <c r="E62" s="189"/>
      <c r="F62" s="189"/>
      <c r="G62" s="189"/>
      <c r="H62" s="189"/>
      <c r="I62" s="189"/>
      <c r="J62" s="189"/>
      <c r="K62" s="189"/>
      <c r="L62" s="189"/>
      <c r="M62" s="189"/>
      <c r="N62" s="189"/>
      <c r="O62" s="189"/>
      <c r="P62" s="189"/>
      <c r="Q62" s="189"/>
      <c r="R62" s="189"/>
      <c r="S62" s="189"/>
      <c r="T62" s="189"/>
      <c r="U62" s="37">
        <v>60</v>
      </c>
      <c r="V62" s="37" t="s">
        <v>4</v>
      </c>
      <c r="W62" s="21" t="s">
        <v>122</v>
      </c>
      <c r="X62" s="215"/>
      <c r="Y62" s="215"/>
      <c r="Z62" s="215"/>
      <c r="AA62" s="215"/>
      <c r="AB62" s="216"/>
      <c r="AC62" s="216"/>
      <c r="AD62" s="252"/>
      <c r="AE62" s="252"/>
      <c r="AF62" s="252"/>
    </row>
    <row r="63" spans="1:32" x14ac:dyDescent="0.35">
      <c r="A63" s="189"/>
      <c r="B63" s="189"/>
      <c r="C63" s="189"/>
      <c r="D63" s="189"/>
      <c r="E63" s="189"/>
      <c r="F63" s="189"/>
      <c r="G63" s="189"/>
      <c r="H63" s="189"/>
      <c r="I63" s="189"/>
      <c r="J63" s="189"/>
      <c r="K63" s="189"/>
      <c r="L63" s="189"/>
      <c r="M63" s="189"/>
      <c r="N63" s="189"/>
      <c r="O63" s="189"/>
      <c r="P63" s="189"/>
      <c r="Q63" s="189"/>
      <c r="R63" s="189"/>
      <c r="S63" s="189"/>
      <c r="T63" s="189"/>
      <c r="U63" s="37">
        <v>61</v>
      </c>
      <c r="V63" s="37" t="s">
        <v>4</v>
      </c>
      <c r="W63" s="21" t="s">
        <v>123</v>
      </c>
      <c r="X63" s="215"/>
      <c r="Y63" s="215"/>
      <c r="Z63" s="215"/>
      <c r="AA63" s="215"/>
      <c r="AB63" s="216"/>
      <c r="AC63" s="216"/>
      <c r="AD63" s="252"/>
      <c r="AE63" s="252"/>
      <c r="AF63" s="252"/>
    </row>
    <row r="64" spans="1:32" x14ac:dyDescent="0.35">
      <c r="A64" s="189"/>
      <c r="B64" s="189"/>
      <c r="C64" s="189"/>
      <c r="D64" s="189"/>
      <c r="E64" s="189"/>
      <c r="F64" s="189"/>
      <c r="G64" s="189"/>
      <c r="H64" s="189"/>
      <c r="I64" s="189"/>
      <c r="J64" s="189"/>
      <c r="K64" s="189"/>
      <c r="L64" s="189"/>
      <c r="M64" s="189"/>
      <c r="N64" s="189"/>
      <c r="O64" s="189"/>
      <c r="P64" s="189"/>
      <c r="Q64" s="189"/>
      <c r="R64" s="189"/>
      <c r="S64" s="189"/>
      <c r="T64" s="189"/>
      <c r="U64" s="21">
        <v>62</v>
      </c>
      <c r="V64" s="37" t="s">
        <v>4</v>
      </c>
      <c r="W64" s="21" t="s">
        <v>124</v>
      </c>
      <c r="X64" s="215"/>
      <c r="Y64" s="215"/>
      <c r="Z64" s="215"/>
      <c r="AA64" s="215"/>
      <c r="AB64" s="216"/>
      <c r="AC64" s="216"/>
      <c r="AD64" s="252"/>
      <c r="AE64" s="252"/>
      <c r="AF64" s="252"/>
    </row>
    <row r="65" spans="1:32" x14ac:dyDescent="0.35">
      <c r="A65" s="189"/>
      <c r="B65" s="189"/>
      <c r="C65" s="189"/>
      <c r="D65" s="189"/>
      <c r="E65" s="189"/>
      <c r="F65" s="189"/>
      <c r="G65" s="189"/>
      <c r="H65" s="189"/>
      <c r="I65" s="189"/>
      <c r="J65" s="189"/>
      <c r="K65" s="189"/>
      <c r="L65" s="189"/>
      <c r="M65" s="189"/>
      <c r="N65" s="189"/>
      <c r="O65" s="189"/>
      <c r="P65" s="189"/>
      <c r="Q65" s="189"/>
      <c r="R65" s="189"/>
      <c r="S65" s="189"/>
      <c r="T65" s="189"/>
      <c r="U65" s="21">
        <v>63</v>
      </c>
      <c r="V65" s="37" t="s">
        <v>4</v>
      </c>
      <c r="W65" s="21" t="s">
        <v>125</v>
      </c>
      <c r="X65" s="215"/>
      <c r="Y65" s="215"/>
      <c r="Z65" s="215"/>
      <c r="AA65" s="215"/>
      <c r="AB65" s="216"/>
      <c r="AC65" s="216"/>
      <c r="AD65" s="252"/>
      <c r="AE65" s="252"/>
      <c r="AF65" s="252"/>
    </row>
    <row r="66" spans="1:32" x14ac:dyDescent="0.35">
      <c r="A66" s="189"/>
      <c r="B66" s="189"/>
      <c r="C66" s="189"/>
      <c r="D66" s="189"/>
      <c r="E66" s="189"/>
      <c r="F66" s="189"/>
      <c r="G66" s="189"/>
      <c r="H66" s="189"/>
      <c r="I66" s="189"/>
      <c r="J66" s="189"/>
      <c r="K66" s="189"/>
      <c r="L66" s="189"/>
      <c r="M66" s="189"/>
      <c r="N66" s="189"/>
      <c r="O66" s="189"/>
      <c r="P66" s="189"/>
      <c r="Q66" s="189"/>
      <c r="R66" s="189"/>
      <c r="S66" s="189"/>
      <c r="T66" s="189"/>
      <c r="U66" s="37">
        <v>64</v>
      </c>
      <c r="V66" s="37" t="s">
        <v>4</v>
      </c>
      <c r="W66" s="21" t="s">
        <v>126</v>
      </c>
      <c r="X66" s="215"/>
      <c r="Y66" s="215"/>
      <c r="Z66" s="215"/>
      <c r="AA66" s="215"/>
      <c r="AB66" s="216"/>
      <c r="AC66" s="216"/>
      <c r="AD66" s="252"/>
      <c r="AE66" s="252"/>
      <c r="AF66" s="252"/>
    </row>
    <row r="67" spans="1:32" x14ac:dyDescent="0.35">
      <c r="A67" s="189"/>
      <c r="B67" s="189"/>
      <c r="C67" s="189"/>
      <c r="D67" s="189"/>
      <c r="E67" s="189"/>
      <c r="F67" s="189"/>
      <c r="G67" s="189"/>
      <c r="H67" s="189"/>
      <c r="I67" s="189"/>
      <c r="J67" s="189"/>
      <c r="K67" s="189"/>
      <c r="L67" s="189"/>
      <c r="M67" s="189"/>
      <c r="N67" s="189"/>
      <c r="O67" s="189"/>
      <c r="P67" s="189"/>
      <c r="Q67" s="189"/>
      <c r="R67" s="189"/>
      <c r="S67" s="189"/>
      <c r="T67" s="189"/>
      <c r="U67" s="37">
        <v>65</v>
      </c>
      <c r="V67" s="37" t="s">
        <v>63</v>
      </c>
      <c r="W67" s="21" t="s">
        <v>127</v>
      </c>
      <c r="X67" s="215"/>
      <c r="Y67" s="215"/>
      <c r="Z67" s="215"/>
      <c r="AA67" s="215"/>
      <c r="AB67" s="216"/>
      <c r="AC67" s="216"/>
      <c r="AD67" s="252"/>
      <c r="AE67" s="252"/>
      <c r="AF67" s="252"/>
    </row>
    <row r="68" spans="1:32" x14ac:dyDescent="0.35">
      <c r="A68" s="189"/>
      <c r="B68" s="189"/>
      <c r="C68" s="189"/>
      <c r="D68" s="189"/>
      <c r="E68" s="189"/>
      <c r="F68" s="189"/>
      <c r="G68" s="189"/>
      <c r="H68" s="189"/>
      <c r="I68" s="189"/>
      <c r="J68" s="189"/>
      <c r="K68" s="189"/>
      <c r="L68" s="189"/>
      <c r="M68" s="189"/>
      <c r="N68" s="189"/>
      <c r="O68" s="189"/>
      <c r="P68" s="189"/>
      <c r="Q68" s="189"/>
      <c r="R68" s="189"/>
      <c r="S68" s="189"/>
      <c r="T68" s="189"/>
      <c r="U68" s="37">
        <v>66</v>
      </c>
      <c r="V68" s="37" t="s">
        <v>63</v>
      </c>
      <c r="W68" s="21" t="s">
        <v>128</v>
      </c>
      <c r="X68" s="215"/>
      <c r="Y68" s="215"/>
      <c r="Z68" s="215"/>
      <c r="AA68" s="215"/>
      <c r="AB68" s="216"/>
      <c r="AC68" s="216"/>
      <c r="AD68" s="252"/>
      <c r="AE68" s="252"/>
      <c r="AF68" s="252"/>
    </row>
    <row r="69" spans="1:32" x14ac:dyDescent="0.35">
      <c r="A69" s="189"/>
      <c r="B69" s="189"/>
      <c r="C69" s="189"/>
      <c r="D69" s="189"/>
      <c r="E69" s="189"/>
      <c r="F69" s="189"/>
      <c r="G69" s="189"/>
      <c r="H69" s="189"/>
      <c r="I69" s="189"/>
      <c r="J69" s="189"/>
      <c r="K69" s="189"/>
      <c r="L69" s="189"/>
      <c r="M69" s="189"/>
      <c r="N69" s="189"/>
      <c r="O69" s="189"/>
      <c r="P69" s="189"/>
      <c r="Q69" s="189"/>
      <c r="R69" s="189"/>
      <c r="S69" s="189"/>
      <c r="T69" s="189"/>
      <c r="U69" s="37">
        <v>67</v>
      </c>
      <c r="V69" s="37" t="s">
        <v>63</v>
      </c>
      <c r="W69" s="21" t="s">
        <v>129</v>
      </c>
      <c r="X69" s="215"/>
      <c r="Y69" s="215"/>
      <c r="Z69" s="215"/>
      <c r="AA69" s="215"/>
      <c r="AB69" s="216"/>
      <c r="AC69" s="216"/>
      <c r="AD69" s="252"/>
      <c r="AE69" s="252"/>
      <c r="AF69" s="252"/>
    </row>
    <row r="70" spans="1:32" x14ac:dyDescent="0.35">
      <c r="A70" s="189"/>
      <c r="B70" s="189"/>
      <c r="C70" s="189"/>
      <c r="D70" s="189"/>
      <c r="E70" s="189"/>
      <c r="F70" s="189"/>
      <c r="G70" s="189"/>
      <c r="H70" s="189"/>
      <c r="I70" s="189"/>
      <c r="J70" s="189"/>
      <c r="K70" s="189"/>
      <c r="L70" s="189"/>
      <c r="M70" s="189"/>
      <c r="N70" s="189"/>
      <c r="O70" s="189"/>
      <c r="P70" s="189"/>
      <c r="Q70" s="189"/>
      <c r="R70" s="189"/>
      <c r="S70" s="189"/>
      <c r="T70" s="189"/>
      <c r="U70" s="37">
        <v>68</v>
      </c>
      <c r="V70" s="37" t="s">
        <v>63</v>
      </c>
      <c r="W70" s="21" t="s">
        <v>130</v>
      </c>
      <c r="X70" s="215"/>
      <c r="Y70" s="215"/>
      <c r="Z70" s="215"/>
      <c r="AA70" s="215"/>
      <c r="AB70" s="216"/>
      <c r="AC70" s="216"/>
      <c r="AD70" s="252"/>
      <c r="AE70" s="252"/>
      <c r="AF70" s="252"/>
    </row>
    <row r="71" spans="1:32" x14ac:dyDescent="0.35">
      <c r="A71" s="189"/>
      <c r="B71" s="189"/>
      <c r="C71" s="189"/>
      <c r="D71" s="189"/>
      <c r="E71" s="189"/>
      <c r="F71" s="189"/>
      <c r="G71" s="189"/>
      <c r="H71" s="189"/>
      <c r="I71" s="189"/>
      <c r="J71" s="189"/>
      <c r="K71" s="189"/>
      <c r="L71" s="189"/>
      <c r="M71" s="189"/>
      <c r="N71" s="189"/>
      <c r="O71" s="189"/>
      <c r="P71" s="189"/>
      <c r="Q71" s="189"/>
      <c r="R71" s="189"/>
      <c r="S71" s="189"/>
      <c r="T71" s="189"/>
      <c r="U71" s="21">
        <v>69</v>
      </c>
      <c r="V71" s="37" t="s">
        <v>63</v>
      </c>
      <c r="W71" s="21" t="s">
        <v>131</v>
      </c>
      <c r="X71" s="215"/>
      <c r="Y71" s="215"/>
      <c r="Z71" s="215"/>
      <c r="AA71" s="215"/>
      <c r="AB71" s="216"/>
      <c r="AC71" s="216"/>
      <c r="AD71" s="252"/>
      <c r="AE71" s="252"/>
      <c r="AF71" s="252"/>
    </row>
    <row r="72" spans="1:32" x14ac:dyDescent="0.35">
      <c r="A72" s="189"/>
      <c r="B72" s="189"/>
      <c r="C72" s="189"/>
      <c r="D72" s="189"/>
      <c r="E72" s="189"/>
      <c r="F72" s="189"/>
      <c r="G72" s="189"/>
      <c r="H72" s="189"/>
      <c r="I72" s="189"/>
      <c r="J72" s="189"/>
      <c r="K72" s="189"/>
      <c r="L72" s="189"/>
      <c r="M72" s="189"/>
      <c r="N72" s="189"/>
      <c r="O72" s="189"/>
      <c r="P72" s="189"/>
      <c r="Q72" s="189"/>
      <c r="R72" s="189"/>
      <c r="S72" s="189"/>
      <c r="T72" s="189"/>
      <c r="U72" s="21">
        <v>70</v>
      </c>
      <c r="V72" s="37" t="s">
        <v>63</v>
      </c>
      <c r="W72" s="21" t="s">
        <v>132</v>
      </c>
      <c r="X72" s="215"/>
      <c r="Y72" s="215"/>
      <c r="Z72" s="215"/>
      <c r="AA72" s="215"/>
      <c r="AB72" s="216"/>
      <c r="AC72" s="216"/>
      <c r="AD72" s="252"/>
      <c r="AE72" s="252"/>
      <c r="AF72" s="252"/>
    </row>
    <row r="73" spans="1:32" x14ac:dyDescent="0.35">
      <c r="A73" s="189"/>
      <c r="B73" s="189"/>
      <c r="C73" s="189"/>
      <c r="D73" s="189"/>
      <c r="E73" s="189"/>
      <c r="F73" s="189"/>
      <c r="G73" s="189"/>
      <c r="H73" s="189"/>
      <c r="I73" s="189"/>
      <c r="J73" s="189"/>
      <c r="K73" s="189"/>
      <c r="L73" s="189"/>
      <c r="M73" s="189"/>
      <c r="N73" s="189"/>
      <c r="O73" s="189"/>
      <c r="P73" s="189"/>
      <c r="Q73" s="189"/>
      <c r="R73" s="189"/>
      <c r="S73" s="189"/>
      <c r="T73" s="189"/>
      <c r="U73" s="37">
        <v>71</v>
      </c>
      <c r="V73" s="37" t="s">
        <v>63</v>
      </c>
      <c r="W73" s="21" t="s">
        <v>133</v>
      </c>
      <c r="X73" s="215"/>
      <c r="Y73" s="215"/>
      <c r="Z73" s="215"/>
      <c r="AA73" s="215"/>
      <c r="AB73" s="216"/>
      <c r="AC73" s="216"/>
      <c r="AD73" s="252"/>
      <c r="AE73" s="252"/>
      <c r="AF73" s="252"/>
    </row>
    <row r="74" spans="1:32" x14ac:dyDescent="0.35">
      <c r="A74" s="189"/>
      <c r="B74" s="189"/>
      <c r="C74" s="189"/>
      <c r="D74" s="189"/>
      <c r="E74" s="189"/>
      <c r="F74" s="189"/>
      <c r="G74" s="189"/>
      <c r="H74" s="189"/>
      <c r="I74" s="189"/>
      <c r="J74" s="189"/>
      <c r="K74" s="189"/>
      <c r="L74" s="189"/>
      <c r="M74" s="189"/>
      <c r="N74" s="189"/>
      <c r="O74" s="189"/>
      <c r="P74" s="189"/>
      <c r="Q74" s="189"/>
      <c r="R74" s="189"/>
      <c r="S74" s="189"/>
      <c r="T74" s="189"/>
      <c r="U74" s="37">
        <v>72</v>
      </c>
      <c r="V74" s="37" t="s">
        <v>63</v>
      </c>
      <c r="W74" s="21" t="s">
        <v>134</v>
      </c>
      <c r="X74" s="215"/>
      <c r="Y74" s="215"/>
      <c r="Z74" s="215"/>
      <c r="AA74" s="215"/>
      <c r="AB74" s="216"/>
      <c r="AC74" s="216"/>
      <c r="AD74" s="252"/>
      <c r="AE74" s="252"/>
      <c r="AF74" s="252"/>
    </row>
    <row r="75" spans="1:32" x14ac:dyDescent="0.35">
      <c r="A75" s="189"/>
      <c r="B75" s="189"/>
      <c r="C75" s="189"/>
      <c r="D75" s="189"/>
      <c r="E75" s="189"/>
      <c r="F75" s="189"/>
      <c r="G75" s="189"/>
      <c r="H75" s="189"/>
      <c r="I75" s="189"/>
      <c r="J75" s="189"/>
      <c r="K75" s="189"/>
      <c r="L75" s="189"/>
      <c r="M75" s="189"/>
      <c r="N75" s="189"/>
      <c r="O75" s="189"/>
      <c r="P75" s="189"/>
      <c r="Q75" s="189"/>
      <c r="R75" s="189"/>
      <c r="S75" s="189"/>
      <c r="T75" s="189"/>
      <c r="U75" s="37">
        <v>73</v>
      </c>
      <c r="V75" s="37" t="s">
        <v>63</v>
      </c>
      <c r="W75" s="21" t="s">
        <v>135</v>
      </c>
      <c r="X75" s="215"/>
      <c r="Y75" s="215"/>
      <c r="Z75" s="215"/>
      <c r="AA75" s="215"/>
      <c r="AB75" s="216"/>
      <c r="AC75" s="216"/>
      <c r="AD75" s="252"/>
      <c r="AE75" s="252"/>
      <c r="AF75" s="252"/>
    </row>
    <row r="76" spans="1:32" x14ac:dyDescent="0.35">
      <c r="A76" s="189"/>
      <c r="B76" s="189"/>
      <c r="C76" s="189"/>
      <c r="D76" s="189"/>
      <c r="E76" s="189"/>
      <c r="F76" s="189"/>
      <c r="G76" s="189"/>
      <c r="H76" s="189"/>
      <c r="I76" s="189"/>
      <c r="J76" s="189"/>
      <c r="K76" s="189"/>
      <c r="L76" s="189"/>
      <c r="M76" s="189"/>
      <c r="N76" s="189"/>
      <c r="O76" s="189"/>
      <c r="P76" s="189"/>
      <c r="Q76" s="189"/>
      <c r="R76" s="189"/>
      <c r="S76" s="189"/>
      <c r="T76" s="189"/>
      <c r="U76" s="37">
        <v>74</v>
      </c>
      <c r="V76" s="37" t="s">
        <v>63</v>
      </c>
      <c r="W76" s="21" t="s">
        <v>136</v>
      </c>
      <c r="X76" s="215"/>
      <c r="Y76" s="215"/>
      <c r="Z76" s="215"/>
      <c r="AA76" s="215"/>
      <c r="AB76" s="216"/>
      <c r="AC76" s="216"/>
      <c r="AD76" s="252"/>
      <c r="AE76" s="252"/>
      <c r="AF76" s="252"/>
    </row>
    <row r="77" spans="1:32" x14ac:dyDescent="0.35">
      <c r="A77" s="189"/>
      <c r="B77" s="189"/>
      <c r="C77" s="189"/>
      <c r="D77" s="189"/>
      <c r="E77" s="189"/>
      <c r="F77" s="189"/>
      <c r="G77" s="189"/>
      <c r="H77" s="189"/>
      <c r="I77" s="189"/>
      <c r="J77" s="189"/>
      <c r="K77" s="189"/>
      <c r="L77" s="189"/>
      <c r="M77" s="189"/>
      <c r="N77" s="189"/>
      <c r="O77" s="189"/>
      <c r="P77" s="189"/>
      <c r="Q77" s="189"/>
      <c r="R77" s="189"/>
      <c r="S77" s="189"/>
      <c r="T77" s="189"/>
      <c r="U77" s="37">
        <v>75</v>
      </c>
      <c r="V77" s="37" t="s">
        <v>96</v>
      </c>
      <c r="W77" s="21" t="s">
        <v>137</v>
      </c>
      <c r="X77" s="215"/>
      <c r="Y77" s="215"/>
      <c r="Z77" s="215"/>
      <c r="AA77" s="215"/>
      <c r="AB77" s="216"/>
      <c r="AC77" s="216"/>
      <c r="AD77" s="252"/>
      <c r="AE77" s="252"/>
      <c r="AF77" s="252"/>
    </row>
    <row r="78" spans="1:32" x14ac:dyDescent="0.35">
      <c r="A78" s="189"/>
      <c r="B78" s="189"/>
      <c r="C78" s="189"/>
      <c r="D78" s="189"/>
      <c r="E78" s="189"/>
      <c r="F78" s="189"/>
      <c r="G78" s="189"/>
      <c r="H78" s="189"/>
      <c r="I78" s="189"/>
      <c r="J78" s="189"/>
      <c r="K78" s="189"/>
      <c r="L78" s="189"/>
      <c r="M78" s="189"/>
      <c r="N78" s="189"/>
      <c r="O78" s="189"/>
      <c r="P78" s="189"/>
      <c r="Q78" s="189"/>
      <c r="R78" s="189"/>
      <c r="S78" s="189"/>
      <c r="T78" s="189"/>
      <c r="U78" s="21">
        <v>76</v>
      </c>
      <c r="V78" s="37" t="s">
        <v>96</v>
      </c>
      <c r="W78" s="21" t="s">
        <v>138</v>
      </c>
      <c r="X78" s="215"/>
      <c r="Y78" s="215"/>
      <c r="Z78" s="215"/>
      <c r="AA78" s="215"/>
      <c r="AB78" s="216"/>
      <c r="AC78" s="216"/>
      <c r="AD78" s="252"/>
      <c r="AE78" s="252"/>
      <c r="AF78" s="252"/>
    </row>
    <row r="79" spans="1:32" x14ac:dyDescent="0.35">
      <c r="A79" s="189"/>
      <c r="B79" s="189"/>
      <c r="C79" s="189"/>
      <c r="D79" s="189"/>
      <c r="E79" s="189"/>
      <c r="F79" s="189"/>
      <c r="G79" s="189"/>
      <c r="H79" s="189"/>
      <c r="I79" s="189"/>
      <c r="J79" s="189"/>
      <c r="K79" s="189"/>
      <c r="L79" s="189"/>
      <c r="M79" s="189"/>
      <c r="N79" s="189"/>
      <c r="O79" s="189"/>
      <c r="P79" s="189"/>
      <c r="Q79" s="189"/>
      <c r="R79" s="189"/>
      <c r="S79" s="189"/>
      <c r="T79" s="189"/>
      <c r="U79" s="21">
        <v>77</v>
      </c>
      <c r="V79" s="37" t="s">
        <v>96</v>
      </c>
      <c r="W79" s="21" t="s">
        <v>139</v>
      </c>
      <c r="X79" s="215"/>
      <c r="Y79" s="215"/>
      <c r="Z79" s="215"/>
      <c r="AA79" s="215"/>
      <c r="AB79" s="216"/>
      <c r="AC79" s="216"/>
      <c r="AD79" s="252"/>
      <c r="AE79" s="252"/>
      <c r="AF79" s="252"/>
    </row>
    <row r="80" spans="1:32" x14ac:dyDescent="0.35">
      <c r="A80" s="189"/>
      <c r="B80" s="189"/>
      <c r="C80" s="189"/>
      <c r="D80" s="189"/>
      <c r="E80" s="189"/>
      <c r="F80" s="189"/>
      <c r="G80" s="189"/>
      <c r="H80" s="189"/>
      <c r="I80" s="189"/>
      <c r="J80" s="189"/>
      <c r="K80" s="189"/>
      <c r="L80" s="189"/>
      <c r="M80" s="189"/>
      <c r="N80" s="189"/>
      <c r="O80" s="189"/>
      <c r="P80" s="189"/>
      <c r="Q80" s="189"/>
      <c r="R80" s="189"/>
      <c r="S80" s="189"/>
      <c r="T80" s="189"/>
      <c r="U80" s="37">
        <v>78</v>
      </c>
      <c r="V80" s="37" t="s">
        <v>96</v>
      </c>
      <c r="W80" s="21" t="s">
        <v>140</v>
      </c>
      <c r="X80" s="215"/>
      <c r="Y80" s="215"/>
      <c r="Z80" s="215"/>
      <c r="AA80" s="215"/>
      <c r="AB80" s="216"/>
      <c r="AC80" s="216"/>
      <c r="AD80" s="252"/>
      <c r="AE80" s="252"/>
      <c r="AF80" s="252"/>
    </row>
    <row r="81" spans="1:32" x14ac:dyDescent="0.35">
      <c r="A81" s="189"/>
      <c r="B81" s="189"/>
      <c r="C81" s="189"/>
      <c r="D81" s="189"/>
      <c r="E81" s="189"/>
      <c r="F81" s="189"/>
      <c r="G81" s="189"/>
      <c r="H81" s="189"/>
      <c r="I81" s="189"/>
      <c r="J81" s="189"/>
      <c r="K81" s="189"/>
      <c r="L81" s="189"/>
      <c r="M81" s="189"/>
      <c r="N81" s="189"/>
      <c r="O81" s="189"/>
      <c r="P81" s="189"/>
      <c r="Q81" s="189"/>
      <c r="R81" s="189"/>
      <c r="S81" s="189"/>
      <c r="T81" s="189"/>
      <c r="U81" s="37">
        <v>79</v>
      </c>
      <c r="V81" s="37" t="s">
        <v>101</v>
      </c>
      <c r="W81" s="21" t="s">
        <v>141</v>
      </c>
      <c r="X81" s="215"/>
      <c r="Y81" s="215"/>
      <c r="Z81" s="215"/>
      <c r="AA81" s="215"/>
      <c r="AB81" s="216"/>
      <c r="AC81" s="216"/>
      <c r="AD81" s="252"/>
      <c r="AE81" s="252"/>
      <c r="AF81" s="252"/>
    </row>
    <row r="82" spans="1:32" x14ac:dyDescent="0.35">
      <c r="A82" s="189"/>
      <c r="B82" s="189"/>
      <c r="C82" s="189"/>
      <c r="D82" s="189"/>
      <c r="E82" s="189"/>
      <c r="F82" s="189"/>
      <c r="G82" s="189"/>
      <c r="H82" s="189"/>
      <c r="I82" s="189"/>
      <c r="J82" s="189"/>
      <c r="K82" s="189"/>
      <c r="L82" s="189"/>
      <c r="M82" s="189"/>
      <c r="N82" s="189"/>
      <c r="O82" s="189"/>
      <c r="P82" s="189"/>
      <c r="Q82" s="189"/>
      <c r="R82" s="189"/>
      <c r="S82" s="189"/>
      <c r="T82" s="189"/>
      <c r="U82" s="37">
        <v>80</v>
      </c>
      <c r="V82" s="37" t="s">
        <v>101</v>
      </c>
      <c r="W82" s="21" t="s">
        <v>142</v>
      </c>
      <c r="X82" s="215"/>
      <c r="Y82" s="215"/>
      <c r="Z82" s="215"/>
      <c r="AA82" s="215"/>
      <c r="AB82" s="216"/>
      <c r="AC82" s="216"/>
      <c r="AD82" s="252"/>
      <c r="AE82" s="252"/>
      <c r="AF82" s="252"/>
    </row>
    <row r="83" spans="1:32" x14ac:dyDescent="0.35">
      <c r="A83" s="189"/>
      <c r="B83" s="189"/>
      <c r="C83" s="189"/>
      <c r="D83" s="189"/>
      <c r="E83" s="189"/>
      <c r="F83" s="189"/>
      <c r="G83" s="189"/>
      <c r="H83" s="189"/>
      <c r="I83" s="189"/>
      <c r="J83" s="189"/>
      <c r="K83" s="189"/>
      <c r="L83" s="189"/>
      <c r="M83" s="189"/>
      <c r="N83" s="189"/>
      <c r="O83" s="189"/>
      <c r="P83" s="189"/>
      <c r="Q83" s="189"/>
      <c r="R83" s="189"/>
      <c r="S83" s="189"/>
      <c r="T83" s="189"/>
      <c r="U83" s="37">
        <v>81</v>
      </c>
      <c r="V83" s="37" t="s">
        <v>101</v>
      </c>
      <c r="W83" s="21" t="s">
        <v>143</v>
      </c>
      <c r="X83" s="215"/>
      <c r="Y83" s="215"/>
      <c r="Z83" s="215"/>
      <c r="AA83" s="215"/>
      <c r="AB83" s="216"/>
      <c r="AC83" s="216"/>
      <c r="AD83" s="252"/>
      <c r="AE83" s="252"/>
      <c r="AF83" s="252"/>
    </row>
    <row r="84" spans="1:32" x14ac:dyDescent="0.35">
      <c r="A84" s="189"/>
      <c r="B84" s="189"/>
      <c r="C84" s="189"/>
      <c r="D84" s="189"/>
      <c r="E84" s="189"/>
      <c r="F84" s="189"/>
      <c r="G84" s="189"/>
      <c r="H84" s="189"/>
      <c r="I84" s="189"/>
      <c r="J84" s="189"/>
      <c r="K84" s="189"/>
      <c r="L84" s="189"/>
      <c r="M84" s="189"/>
      <c r="N84" s="189"/>
      <c r="O84" s="189"/>
      <c r="P84" s="189"/>
      <c r="Q84" s="189"/>
      <c r="R84" s="189"/>
      <c r="S84" s="189"/>
      <c r="T84" s="189"/>
      <c r="U84" s="37">
        <v>82</v>
      </c>
      <c r="V84" s="37" t="s">
        <v>101</v>
      </c>
      <c r="W84" s="21" t="s">
        <v>144</v>
      </c>
      <c r="X84" s="215"/>
      <c r="Y84" s="215"/>
      <c r="Z84" s="215"/>
      <c r="AA84" s="215"/>
      <c r="AB84" s="216"/>
      <c r="AC84" s="216"/>
      <c r="AD84" s="252"/>
      <c r="AE84" s="252"/>
      <c r="AF84" s="252"/>
    </row>
    <row r="85" spans="1:32" x14ac:dyDescent="0.35">
      <c r="A85" s="189"/>
      <c r="B85" s="189"/>
      <c r="C85" s="189"/>
      <c r="D85" s="189"/>
      <c r="E85" s="189"/>
      <c r="F85" s="189"/>
      <c r="G85" s="189"/>
      <c r="H85" s="189"/>
      <c r="I85" s="189"/>
      <c r="J85" s="189"/>
      <c r="K85" s="189"/>
      <c r="L85" s="189"/>
      <c r="M85" s="189"/>
      <c r="N85" s="189"/>
      <c r="O85" s="189"/>
      <c r="P85" s="189"/>
      <c r="Q85" s="189"/>
      <c r="R85" s="189"/>
      <c r="S85" s="189"/>
      <c r="T85" s="189"/>
      <c r="U85" s="21">
        <v>83</v>
      </c>
      <c r="V85" s="37" t="s">
        <v>4</v>
      </c>
      <c r="W85" s="21" t="s">
        <v>145</v>
      </c>
      <c r="X85" s="215"/>
      <c r="Y85" s="215"/>
      <c r="Z85" s="215"/>
      <c r="AA85" s="215"/>
      <c r="AB85" s="216"/>
      <c r="AC85" s="216"/>
      <c r="AD85" s="252"/>
      <c r="AE85" s="252"/>
      <c r="AF85" s="252"/>
    </row>
    <row r="86" spans="1:32" x14ac:dyDescent="0.35">
      <c r="A86" s="189"/>
      <c r="B86" s="189"/>
      <c r="C86" s="189"/>
      <c r="D86" s="189"/>
      <c r="E86" s="189"/>
      <c r="F86" s="189"/>
      <c r="G86" s="189"/>
      <c r="H86" s="189"/>
      <c r="I86" s="189"/>
      <c r="J86" s="189"/>
      <c r="K86" s="189"/>
      <c r="L86" s="189"/>
      <c r="M86" s="189"/>
      <c r="N86" s="189"/>
      <c r="O86" s="189"/>
      <c r="P86" s="189"/>
      <c r="Q86" s="189"/>
      <c r="R86" s="189"/>
      <c r="S86" s="189"/>
      <c r="T86" s="189"/>
      <c r="U86" s="21">
        <v>84</v>
      </c>
      <c r="V86" s="37" t="s">
        <v>4</v>
      </c>
      <c r="W86" s="21" t="s">
        <v>146</v>
      </c>
      <c r="X86" s="215"/>
      <c r="Y86" s="215"/>
      <c r="Z86" s="215"/>
      <c r="AA86" s="215"/>
      <c r="AB86" s="216"/>
      <c r="AC86" s="216"/>
      <c r="AD86" s="252"/>
      <c r="AE86" s="252"/>
      <c r="AF86" s="252"/>
    </row>
    <row r="87" spans="1:32" x14ac:dyDescent="0.35">
      <c r="A87" s="189"/>
      <c r="B87" s="189"/>
      <c r="C87" s="189"/>
      <c r="D87" s="189"/>
      <c r="E87" s="189"/>
      <c r="F87" s="189"/>
      <c r="G87" s="189"/>
      <c r="H87" s="189"/>
      <c r="I87" s="189"/>
      <c r="J87" s="189"/>
      <c r="K87" s="189"/>
      <c r="L87" s="189"/>
      <c r="M87" s="189"/>
      <c r="N87" s="189"/>
      <c r="O87" s="189"/>
      <c r="P87" s="189"/>
      <c r="Q87" s="189"/>
      <c r="R87" s="189"/>
      <c r="S87" s="189"/>
      <c r="T87" s="189"/>
      <c r="U87" s="37">
        <v>85</v>
      </c>
      <c r="V87" s="37" t="s">
        <v>4</v>
      </c>
      <c r="W87" s="21" t="s">
        <v>147</v>
      </c>
      <c r="X87" s="215"/>
      <c r="Y87" s="215"/>
      <c r="Z87" s="215"/>
      <c r="AA87" s="215"/>
      <c r="AB87" s="216"/>
      <c r="AC87" s="216"/>
      <c r="AD87" s="252"/>
      <c r="AE87" s="252"/>
      <c r="AF87" s="252"/>
    </row>
    <row r="88" spans="1:32" x14ac:dyDescent="0.35">
      <c r="A88" s="189"/>
      <c r="B88" s="189"/>
      <c r="C88" s="189"/>
      <c r="D88" s="189"/>
      <c r="E88" s="189"/>
      <c r="F88" s="189"/>
      <c r="G88" s="189"/>
      <c r="H88" s="189"/>
      <c r="I88" s="189"/>
      <c r="J88" s="189"/>
      <c r="K88" s="189"/>
      <c r="L88" s="189"/>
      <c r="M88" s="189"/>
      <c r="N88" s="189"/>
      <c r="O88" s="189"/>
      <c r="P88" s="189"/>
      <c r="Q88" s="189"/>
      <c r="R88" s="189"/>
      <c r="S88" s="189"/>
      <c r="T88" s="189"/>
      <c r="U88" s="37">
        <v>86</v>
      </c>
      <c r="V88" s="37" t="s">
        <v>4</v>
      </c>
      <c r="W88" s="21" t="s">
        <v>148</v>
      </c>
      <c r="X88" s="215"/>
      <c r="Y88" s="215"/>
      <c r="Z88" s="215"/>
      <c r="AA88" s="215"/>
      <c r="AB88" s="216"/>
      <c r="AC88" s="216"/>
      <c r="AD88" s="252"/>
      <c r="AE88" s="252"/>
      <c r="AF88" s="252"/>
    </row>
    <row r="89" spans="1:32" x14ac:dyDescent="0.35">
      <c r="A89" s="189"/>
      <c r="B89" s="189"/>
      <c r="C89" s="189"/>
      <c r="D89" s="189"/>
      <c r="E89" s="189"/>
      <c r="F89" s="189"/>
      <c r="G89" s="189"/>
      <c r="H89" s="189"/>
      <c r="I89" s="189"/>
      <c r="J89" s="189"/>
      <c r="K89" s="189"/>
      <c r="L89" s="189"/>
      <c r="M89" s="189"/>
      <c r="N89" s="189"/>
      <c r="O89" s="189"/>
      <c r="P89" s="189"/>
      <c r="Q89" s="189"/>
      <c r="R89" s="189"/>
      <c r="S89" s="189"/>
      <c r="T89" s="189"/>
      <c r="U89" s="37">
        <v>87</v>
      </c>
      <c r="V89" s="37" t="s">
        <v>4</v>
      </c>
      <c r="W89" s="21" t="s">
        <v>149</v>
      </c>
      <c r="X89" s="215"/>
      <c r="Y89" s="215"/>
      <c r="Z89" s="215"/>
      <c r="AA89" s="215"/>
      <c r="AB89" s="216"/>
      <c r="AC89" s="216"/>
      <c r="AD89" s="252"/>
      <c r="AE89" s="252"/>
      <c r="AF89" s="252"/>
    </row>
    <row r="90" spans="1:32" x14ac:dyDescent="0.35">
      <c r="A90" s="189"/>
      <c r="B90" s="189"/>
      <c r="C90" s="189"/>
      <c r="D90" s="189"/>
      <c r="E90" s="189"/>
      <c r="F90" s="189"/>
      <c r="G90" s="189"/>
      <c r="H90" s="189"/>
      <c r="I90" s="189"/>
      <c r="J90" s="189"/>
      <c r="K90" s="189"/>
      <c r="L90" s="189"/>
      <c r="M90" s="189"/>
      <c r="N90" s="189"/>
      <c r="O90" s="189"/>
      <c r="P90" s="189"/>
      <c r="Q90" s="189"/>
      <c r="R90" s="189"/>
      <c r="S90" s="189"/>
      <c r="T90" s="189"/>
      <c r="U90" s="37">
        <v>88</v>
      </c>
      <c r="V90" s="37" t="s">
        <v>4</v>
      </c>
      <c r="W90" s="21" t="s">
        <v>150</v>
      </c>
      <c r="X90" s="215"/>
      <c r="Y90" s="215"/>
      <c r="Z90" s="215"/>
      <c r="AA90" s="215"/>
      <c r="AB90" s="216"/>
      <c r="AC90" s="216"/>
      <c r="AD90" s="252"/>
      <c r="AE90" s="252"/>
      <c r="AF90" s="252"/>
    </row>
    <row r="91" spans="1:32" x14ac:dyDescent="0.35">
      <c r="A91" s="189"/>
      <c r="B91" s="189"/>
      <c r="C91" s="189"/>
      <c r="D91" s="189"/>
      <c r="E91" s="189"/>
      <c r="F91" s="189"/>
      <c r="G91" s="189"/>
      <c r="H91" s="189"/>
      <c r="I91" s="189"/>
      <c r="J91" s="189"/>
      <c r="K91" s="189"/>
      <c r="L91" s="189"/>
      <c r="M91" s="189"/>
      <c r="N91" s="189"/>
      <c r="O91" s="189"/>
      <c r="P91" s="189"/>
      <c r="Q91" s="189"/>
      <c r="R91" s="189"/>
      <c r="S91" s="189"/>
      <c r="T91" s="189"/>
      <c r="U91" s="37">
        <v>89</v>
      </c>
      <c r="V91" s="37" t="s">
        <v>4</v>
      </c>
      <c r="W91" s="21" t="s">
        <v>151</v>
      </c>
      <c r="X91" s="215"/>
      <c r="Y91" s="215"/>
      <c r="Z91" s="215"/>
      <c r="AA91" s="215"/>
      <c r="AB91" s="216"/>
      <c r="AC91" s="216"/>
      <c r="AD91" s="252"/>
      <c r="AE91" s="252"/>
      <c r="AF91" s="252"/>
    </row>
    <row r="92" spans="1:32" x14ac:dyDescent="0.35">
      <c r="A92" s="189"/>
      <c r="B92" s="189"/>
      <c r="C92" s="189"/>
      <c r="D92" s="189"/>
      <c r="E92" s="189"/>
      <c r="F92" s="189"/>
      <c r="G92" s="189"/>
      <c r="H92" s="189"/>
      <c r="I92" s="189"/>
      <c r="J92" s="189"/>
      <c r="K92" s="189"/>
      <c r="L92" s="189"/>
      <c r="M92" s="189"/>
      <c r="N92" s="189"/>
      <c r="O92" s="189"/>
      <c r="P92" s="189"/>
      <c r="Q92" s="189"/>
      <c r="R92" s="189"/>
      <c r="S92" s="189"/>
      <c r="T92" s="189"/>
      <c r="U92" s="21">
        <v>90</v>
      </c>
      <c r="V92" s="37" t="s">
        <v>4</v>
      </c>
      <c r="W92" s="21" t="s">
        <v>152</v>
      </c>
      <c r="X92" s="215"/>
      <c r="Y92" s="215"/>
      <c r="Z92" s="215"/>
      <c r="AA92" s="215"/>
      <c r="AB92" s="216"/>
      <c r="AC92" s="216"/>
      <c r="AD92" s="252"/>
      <c r="AE92" s="252"/>
      <c r="AF92" s="252"/>
    </row>
    <row r="93" spans="1:32" x14ac:dyDescent="0.35">
      <c r="A93" s="189"/>
      <c r="B93" s="189"/>
      <c r="C93" s="189"/>
      <c r="D93" s="189"/>
      <c r="E93" s="189"/>
      <c r="F93" s="189"/>
      <c r="G93" s="189"/>
      <c r="H93" s="189"/>
      <c r="I93" s="189"/>
      <c r="J93" s="189"/>
      <c r="K93" s="189"/>
      <c r="L93" s="189"/>
      <c r="M93" s="189"/>
      <c r="N93" s="189"/>
      <c r="O93" s="189"/>
      <c r="P93" s="189"/>
      <c r="Q93" s="189"/>
      <c r="R93" s="189"/>
      <c r="S93" s="189"/>
      <c r="T93" s="189"/>
      <c r="U93" s="21">
        <v>91</v>
      </c>
      <c r="V93" s="37" t="s">
        <v>4</v>
      </c>
      <c r="W93" s="21" t="s">
        <v>153</v>
      </c>
      <c r="X93" s="215"/>
      <c r="Y93" s="215"/>
      <c r="Z93" s="215"/>
      <c r="AA93" s="215"/>
      <c r="AB93" s="216"/>
      <c r="AC93" s="216"/>
      <c r="AD93" s="252"/>
      <c r="AE93" s="252"/>
      <c r="AF93" s="252"/>
    </row>
    <row r="94" spans="1:32" x14ac:dyDescent="0.35">
      <c r="A94" s="189"/>
      <c r="B94" s="189"/>
      <c r="C94" s="189"/>
      <c r="D94" s="189"/>
      <c r="E94" s="189"/>
      <c r="F94" s="189"/>
      <c r="G94" s="189"/>
      <c r="H94" s="189"/>
      <c r="I94" s="189"/>
      <c r="J94" s="189"/>
      <c r="K94" s="189"/>
      <c r="L94" s="189"/>
      <c r="M94" s="189"/>
      <c r="N94" s="189"/>
      <c r="O94" s="189"/>
      <c r="P94" s="189"/>
      <c r="Q94" s="189"/>
      <c r="R94" s="189"/>
      <c r="S94" s="189"/>
      <c r="T94" s="189"/>
      <c r="U94" s="37">
        <v>92</v>
      </c>
      <c r="V94" s="37" t="s">
        <v>4</v>
      </c>
      <c r="W94" s="21" t="s">
        <v>154</v>
      </c>
      <c r="X94" s="215"/>
      <c r="Y94" s="215"/>
      <c r="Z94" s="215"/>
      <c r="AA94" s="215"/>
      <c r="AB94" s="216"/>
      <c r="AC94" s="216"/>
      <c r="AD94" s="252"/>
      <c r="AE94" s="252"/>
      <c r="AF94" s="252"/>
    </row>
    <row r="95" spans="1:32" x14ac:dyDescent="0.35">
      <c r="A95" s="189"/>
      <c r="B95" s="189"/>
      <c r="C95" s="189"/>
      <c r="D95" s="189"/>
      <c r="E95" s="189"/>
      <c r="F95" s="189"/>
      <c r="G95" s="189"/>
      <c r="H95" s="189"/>
      <c r="I95" s="189"/>
      <c r="J95" s="189"/>
      <c r="K95" s="189"/>
      <c r="L95" s="189"/>
      <c r="M95" s="189"/>
      <c r="N95" s="189"/>
      <c r="O95" s="189"/>
      <c r="P95" s="189"/>
      <c r="Q95" s="189"/>
      <c r="R95" s="189"/>
      <c r="S95" s="189"/>
      <c r="T95" s="189"/>
      <c r="U95" s="37">
        <v>93</v>
      </c>
      <c r="V95" s="37" t="s">
        <v>4</v>
      </c>
      <c r="W95" s="21" t="s">
        <v>155</v>
      </c>
      <c r="X95" s="215"/>
      <c r="Y95" s="215"/>
      <c r="Z95" s="215"/>
      <c r="AA95" s="215"/>
      <c r="AB95" s="216"/>
      <c r="AC95" s="216"/>
      <c r="AD95" s="252"/>
      <c r="AE95" s="252"/>
      <c r="AF95" s="252"/>
    </row>
    <row r="96" spans="1:32" x14ac:dyDescent="0.35">
      <c r="A96" s="189"/>
      <c r="B96" s="189"/>
      <c r="C96" s="189"/>
      <c r="D96" s="189"/>
      <c r="E96" s="189"/>
      <c r="F96" s="189"/>
      <c r="G96" s="189"/>
      <c r="H96" s="189"/>
      <c r="I96" s="189"/>
      <c r="J96" s="189"/>
      <c r="K96" s="189"/>
      <c r="L96" s="189"/>
      <c r="M96" s="189"/>
      <c r="N96" s="189"/>
      <c r="O96" s="189"/>
      <c r="P96" s="189"/>
      <c r="Q96" s="189"/>
      <c r="R96" s="189"/>
      <c r="S96" s="189"/>
      <c r="T96" s="189"/>
      <c r="U96" s="37">
        <v>94</v>
      </c>
      <c r="V96" s="37" t="s">
        <v>4</v>
      </c>
      <c r="W96" s="21" t="s">
        <v>156</v>
      </c>
      <c r="X96" s="215"/>
      <c r="Y96" s="215"/>
      <c r="Z96" s="215"/>
      <c r="AA96" s="215"/>
      <c r="AB96" s="216"/>
      <c r="AC96" s="216"/>
      <c r="AD96" s="252"/>
      <c r="AE96" s="252"/>
      <c r="AF96" s="252"/>
    </row>
    <row r="97" spans="1:32" x14ac:dyDescent="0.35">
      <c r="A97" s="189"/>
      <c r="B97" s="189"/>
      <c r="C97" s="189"/>
      <c r="D97" s="189"/>
      <c r="E97" s="189"/>
      <c r="F97" s="189"/>
      <c r="G97" s="189"/>
      <c r="H97" s="189"/>
      <c r="I97" s="189"/>
      <c r="J97" s="189"/>
      <c r="K97" s="189"/>
      <c r="L97" s="189"/>
      <c r="M97" s="189"/>
      <c r="N97" s="189"/>
      <c r="O97" s="189"/>
      <c r="P97" s="189"/>
      <c r="Q97" s="189"/>
      <c r="R97" s="189"/>
      <c r="S97" s="189"/>
      <c r="T97" s="189"/>
      <c r="U97" s="37">
        <v>95</v>
      </c>
      <c r="V97" s="37" t="s">
        <v>4</v>
      </c>
      <c r="W97" s="21" t="s">
        <v>157</v>
      </c>
      <c r="X97" s="215"/>
      <c r="Y97" s="215"/>
      <c r="Z97" s="215"/>
      <c r="AA97" s="215"/>
      <c r="AB97" s="216"/>
      <c r="AC97" s="216"/>
      <c r="AD97" s="252"/>
      <c r="AE97" s="252"/>
      <c r="AF97" s="252"/>
    </row>
    <row r="98" spans="1:32" x14ac:dyDescent="0.35">
      <c r="A98" s="189"/>
      <c r="B98" s="189"/>
      <c r="C98" s="189"/>
      <c r="D98" s="189"/>
      <c r="E98" s="189"/>
      <c r="F98" s="189"/>
      <c r="G98" s="189"/>
      <c r="H98" s="189"/>
      <c r="I98" s="189"/>
      <c r="J98" s="189"/>
      <c r="K98" s="189"/>
      <c r="L98" s="189"/>
      <c r="M98" s="189"/>
      <c r="N98" s="189"/>
      <c r="O98" s="189"/>
      <c r="P98" s="189"/>
      <c r="Q98" s="189"/>
      <c r="R98" s="189"/>
      <c r="S98" s="189"/>
      <c r="T98" s="189"/>
      <c r="U98" s="37">
        <v>96</v>
      </c>
      <c r="V98" s="37" t="s">
        <v>4</v>
      </c>
      <c r="W98" s="21" t="s">
        <v>158</v>
      </c>
      <c r="X98" s="215"/>
      <c r="Y98" s="215"/>
      <c r="Z98" s="215"/>
      <c r="AA98" s="215"/>
      <c r="AB98" s="216"/>
      <c r="AC98" s="216"/>
      <c r="AD98" s="252"/>
      <c r="AE98" s="252"/>
      <c r="AF98" s="252"/>
    </row>
    <row r="99" spans="1:32" x14ac:dyDescent="0.35">
      <c r="A99" s="189"/>
      <c r="B99" s="189"/>
      <c r="C99" s="189"/>
      <c r="D99" s="189"/>
      <c r="E99" s="189"/>
      <c r="F99" s="189"/>
      <c r="G99" s="189"/>
      <c r="H99" s="189"/>
      <c r="I99" s="189"/>
      <c r="J99" s="189"/>
      <c r="K99" s="189"/>
      <c r="L99" s="189"/>
      <c r="M99" s="189"/>
      <c r="N99" s="189"/>
      <c r="O99" s="189"/>
      <c r="P99" s="189"/>
      <c r="Q99" s="189"/>
      <c r="R99" s="189"/>
      <c r="S99" s="189"/>
      <c r="T99" s="189"/>
      <c r="U99" s="21">
        <v>97</v>
      </c>
      <c r="V99" s="37" t="s">
        <v>4</v>
      </c>
      <c r="W99" s="21" t="s">
        <v>159</v>
      </c>
      <c r="X99" s="215"/>
      <c r="Y99" s="215"/>
      <c r="Z99" s="215"/>
      <c r="AA99" s="215"/>
      <c r="AB99" s="216"/>
      <c r="AC99" s="216"/>
      <c r="AD99" s="252"/>
      <c r="AE99" s="252"/>
      <c r="AF99" s="252"/>
    </row>
    <row r="100" spans="1:32" x14ac:dyDescent="0.35">
      <c r="A100" s="189"/>
      <c r="B100" s="189"/>
      <c r="C100" s="189"/>
      <c r="D100" s="189"/>
      <c r="E100" s="189"/>
      <c r="F100" s="189"/>
      <c r="G100" s="189"/>
      <c r="H100" s="189"/>
      <c r="I100" s="189"/>
      <c r="J100" s="189"/>
      <c r="K100" s="189"/>
      <c r="L100" s="189"/>
      <c r="M100" s="189"/>
      <c r="N100" s="189"/>
      <c r="O100" s="189"/>
      <c r="P100" s="189"/>
      <c r="Q100" s="189"/>
      <c r="R100" s="189"/>
      <c r="S100" s="189"/>
      <c r="T100" s="189"/>
      <c r="U100" s="21">
        <v>98</v>
      </c>
      <c r="V100" s="37" t="s">
        <v>4</v>
      </c>
      <c r="W100" s="21" t="s">
        <v>160</v>
      </c>
      <c r="X100" s="215"/>
      <c r="Y100" s="215"/>
      <c r="Z100" s="215"/>
      <c r="AA100" s="215"/>
      <c r="AB100" s="216"/>
      <c r="AC100" s="216"/>
      <c r="AD100" s="252"/>
      <c r="AE100" s="252"/>
      <c r="AF100" s="252"/>
    </row>
    <row r="101" spans="1:32" x14ac:dyDescent="0.35">
      <c r="A101" s="189"/>
      <c r="B101" s="189"/>
      <c r="C101" s="189"/>
      <c r="D101" s="189"/>
      <c r="E101" s="189"/>
      <c r="F101" s="189"/>
      <c r="G101" s="189"/>
      <c r="H101" s="189"/>
      <c r="I101" s="189"/>
      <c r="J101" s="189"/>
      <c r="K101" s="189"/>
      <c r="L101" s="189"/>
      <c r="M101" s="189"/>
      <c r="N101" s="189"/>
      <c r="O101" s="189"/>
      <c r="P101" s="189"/>
      <c r="Q101" s="189"/>
      <c r="R101" s="189"/>
      <c r="S101" s="189"/>
      <c r="T101" s="189"/>
      <c r="U101" s="37">
        <v>99</v>
      </c>
      <c r="V101" s="37" t="s">
        <v>4</v>
      </c>
      <c r="W101" s="21" t="s">
        <v>161</v>
      </c>
      <c r="X101" s="215"/>
      <c r="Y101" s="215"/>
      <c r="Z101" s="215"/>
      <c r="AA101" s="215"/>
      <c r="AB101" s="216"/>
      <c r="AC101" s="216"/>
      <c r="AD101" s="252"/>
      <c r="AE101" s="252"/>
      <c r="AF101" s="252"/>
    </row>
    <row r="102" spans="1:32" x14ac:dyDescent="0.35">
      <c r="A102" s="189"/>
      <c r="B102" s="189"/>
      <c r="C102" s="189"/>
      <c r="D102" s="189"/>
      <c r="E102" s="189"/>
      <c r="F102" s="189"/>
      <c r="G102" s="189"/>
      <c r="H102" s="189"/>
      <c r="I102" s="189"/>
      <c r="J102" s="189"/>
      <c r="K102" s="189"/>
      <c r="L102" s="189"/>
      <c r="M102" s="189"/>
      <c r="N102" s="189"/>
      <c r="O102" s="189"/>
      <c r="P102" s="189"/>
      <c r="Q102" s="189"/>
      <c r="R102" s="189"/>
      <c r="S102" s="189"/>
      <c r="T102" s="189"/>
      <c r="U102" s="37">
        <v>100</v>
      </c>
      <c r="V102" s="37" t="s">
        <v>63</v>
      </c>
      <c r="W102" s="21" t="s">
        <v>162</v>
      </c>
      <c r="X102" s="215"/>
      <c r="Y102" s="215"/>
      <c r="Z102" s="215"/>
      <c r="AA102" s="215"/>
      <c r="AB102" s="216"/>
      <c r="AC102" s="216"/>
      <c r="AD102" s="252"/>
      <c r="AE102" s="252"/>
      <c r="AF102" s="252"/>
    </row>
    <row r="103" spans="1:32" x14ac:dyDescent="0.35">
      <c r="A103" s="189"/>
      <c r="B103" s="189"/>
      <c r="C103" s="189"/>
      <c r="D103" s="189"/>
      <c r="E103" s="189"/>
      <c r="F103" s="189"/>
      <c r="G103" s="189"/>
      <c r="H103" s="189"/>
      <c r="I103" s="189"/>
      <c r="J103" s="189"/>
      <c r="K103" s="189"/>
      <c r="L103" s="189"/>
      <c r="M103" s="189"/>
      <c r="N103" s="189"/>
      <c r="O103" s="189"/>
      <c r="P103" s="189"/>
      <c r="Q103" s="189"/>
      <c r="R103" s="189"/>
      <c r="S103" s="189"/>
      <c r="T103" s="189"/>
      <c r="U103" s="37">
        <v>101</v>
      </c>
      <c r="V103" s="37" t="s">
        <v>63</v>
      </c>
      <c r="W103" s="21" t="s">
        <v>163</v>
      </c>
      <c r="X103" s="215"/>
      <c r="Y103" s="215"/>
      <c r="Z103" s="215"/>
      <c r="AA103" s="215"/>
      <c r="AB103" s="216"/>
      <c r="AC103" s="216"/>
      <c r="AD103" s="252"/>
      <c r="AE103" s="252"/>
      <c r="AF103" s="252"/>
    </row>
    <row r="104" spans="1:32" x14ac:dyDescent="0.35">
      <c r="A104" s="189"/>
      <c r="B104" s="189"/>
      <c r="C104" s="189"/>
      <c r="D104" s="189"/>
      <c r="E104" s="189"/>
      <c r="F104" s="189"/>
      <c r="G104" s="189"/>
      <c r="H104" s="189"/>
      <c r="I104" s="189"/>
      <c r="J104" s="189"/>
      <c r="K104" s="189"/>
      <c r="L104" s="189"/>
      <c r="M104" s="189"/>
      <c r="N104" s="189"/>
      <c r="O104" s="189"/>
      <c r="P104" s="189"/>
      <c r="Q104" s="189"/>
      <c r="R104" s="189"/>
      <c r="S104" s="189"/>
      <c r="T104" s="189"/>
      <c r="U104" s="37">
        <v>102</v>
      </c>
      <c r="V104" s="37" t="s">
        <v>63</v>
      </c>
      <c r="W104" s="21" t="s">
        <v>164</v>
      </c>
      <c r="X104" s="215"/>
      <c r="Y104" s="215"/>
      <c r="Z104" s="215"/>
      <c r="AA104" s="215"/>
      <c r="AB104" s="216"/>
      <c r="AC104" s="216"/>
      <c r="AD104" s="252"/>
      <c r="AE104" s="252"/>
      <c r="AF104" s="252"/>
    </row>
    <row r="105" spans="1:32" x14ac:dyDescent="0.35">
      <c r="A105" s="189"/>
      <c r="B105" s="189"/>
      <c r="C105" s="189"/>
      <c r="D105" s="189"/>
      <c r="E105" s="189"/>
      <c r="F105" s="189"/>
      <c r="G105" s="189"/>
      <c r="H105" s="189"/>
      <c r="I105" s="189"/>
      <c r="J105" s="189"/>
      <c r="K105" s="189"/>
      <c r="L105" s="189"/>
      <c r="M105" s="189"/>
      <c r="N105" s="189"/>
      <c r="O105" s="189"/>
      <c r="P105" s="189"/>
      <c r="Q105" s="189"/>
      <c r="R105" s="189"/>
      <c r="S105" s="189"/>
      <c r="T105" s="189"/>
      <c r="U105" s="37">
        <v>103</v>
      </c>
      <c r="V105" s="37" t="s">
        <v>63</v>
      </c>
      <c r="W105" s="21" t="s">
        <v>165</v>
      </c>
      <c r="X105" s="215"/>
      <c r="Y105" s="215"/>
      <c r="Z105" s="215"/>
      <c r="AA105" s="215"/>
      <c r="AB105" s="216"/>
      <c r="AC105" s="216"/>
      <c r="AD105" s="252"/>
      <c r="AE105" s="252"/>
      <c r="AF105" s="252"/>
    </row>
    <row r="106" spans="1:32" x14ac:dyDescent="0.35">
      <c r="A106" s="189"/>
      <c r="B106" s="189"/>
      <c r="C106" s="189"/>
      <c r="D106" s="189"/>
      <c r="E106" s="189"/>
      <c r="F106" s="189"/>
      <c r="G106" s="189"/>
      <c r="H106" s="189"/>
      <c r="I106" s="189"/>
      <c r="J106" s="189"/>
      <c r="K106" s="189"/>
      <c r="L106" s="189"/>
      <c r="M106" s="189"/>
      <c r="N106" s="189"/>
      <c r="O106" s="189"/>
      <c r="P106" s="189"/>
      <c r="Q106" s="189"/>
      <c r="R106" s="189"/>
      <c r="S106" s="189"/>
      <c r="T106" s="189"/>
      <c r="U106" s="21">
        <v>104</v>
      </c>
      <c r="V106" s="37" t="s">
        <v>63</v>
      </c>
      <c r="W106" s="21" t="s">
        <v>166</v>
      </c>
      <c r="X106" s="215"/>
      <c r="Y106" s="215"/>
      <c r="Z106" s="215"/>
      <c r="AA106" s="215"/>
      <c r="AB106" s="216"/>
      <c r="AC106" s="216"/>
      <c r="AD106" s="252"/>
      <c r="AE106" s="252"/>
      <c r="AF106" s="252"/>
    </row>
    <row r="107" spans="1:32" x14ac:dyDescent="0.35">
      <c r="A107" s="189"/>
      <c r="B107" s="189"/>
      <c r="C107" s="189"/>
      <c r="D107" s="189"/>
      <c r="E107" s="189"/>
      <c r="F107" s="189"/>
      <c r="G107" s="189"/>
      <c r="H107" s="189"/>
      <c r="I107" s="189"/>
      <c r="J107" s="189"/>
      <c r="K107" s="189"/>
      <c r="L107" s="189"/>
      <c r="M107" s="189"/>
      <c r="N107" s="189"/>
      <c r="O107" s="189"/>
      <c r="P107" s="189"/>
      <c r="Q107" s="189"/>
      <c r="R107" s="189"/>
      <c r="S107" s="189"/>
      <c r="T107" s="189"/>
      <c r="U107" s="21">
        <v>105</v>
      </c>
      <c r="V107" s="37" t="s">
        <v>63</v>
      </c>
      <c r="W107" s="21" t="s">
        <v>167</v>
      </c>
      <c r="X107" s="215"/>
      <c r="Y107" s="215"/>
      <c r="Z107" s="215"/>
      <c r="AA107" s="215"/>
      <c r="AB107" s="216"/>
      <c r="AC107" s="216"/>
      <c r="AD107" s="252"/>
      <c r="AE107" s="252"/>
      <c r="AF107" s="252"/>
    </row>
    <row r="108" spans="1:32" x14ac:dyDescent="0.35">
      <c r="A108" s="189"/>
      <c r="B108" s="189"/>
      <c r="C108" s="189"/>
      <c r="D108" s="189"/>
      <c r="E108" s="189"/>
      <c r="F108" s="189"/>
      <c r="G108" s="189"/>
      <c r="H108" s="189"/>
      <c r="I108" s="189"/>
      <c r="J108" s="189"/>
      <c r="K108" s="189"/>
      <c r="L108" s="189"/>
      <c r="M108" s="189"/>
      <c r="N108" s="189"/>
      <c r="O108" s="189"/>
      <c r="P108" s="189"/>
      <c r="Q108" s="189"/>
      <c r="R108" s="189"/>
      <c r="S108" s="189"/>
      <c r="T108" s="189"/>
      <c r="X108" s="221"/>
      <c r="Y108" s="221"/>
      <c r="Z108" s="221"/>
      <c r="AA108" s="221"/>
      <c r="AB108" s="252"/>
      <c r="AC108" s="252"/>
      <c r="AD108" s="252"/>
      <c r="AE108" s="252"/>
      <c r="AF108" s="252"/>
    </row>
    <row r="109" spans="1:32" x14ac:dyDescent="0.35">
      <c r="X109" s="221"/>
      <c r="Y109" s="221"/>
      <c r="Z109" s="221"/>
      <c r="AA109" s="221"/>
      <c r="AB109" s="252"/>
      <c r="AC109" s="252"/>
      <c r="AD109" s="252"/>
      <c r="AE109" s="252"/>
      <c r="AF109" s="252"/>
    </row>
    <row r="110" spans="1:32" x14ac:dyDescent="0.35">
      <c r="X110" s="221"/>
      <c r="Y110" s="221"/>
      <c r="Z110" s="221"/>
      <c r="AA110" s="221"/>
      <c r="AB110" s="252"/>
      <c r="AC110" s="252"/>
      <c r="AD110" s="252"/>
      <c r="AE110" s="252"/>
      <c r="AF110" s="252"/>
    </row>
    <row r="111" spans="1:32" x14ac:dyDescent="0.35">
      <c r="X111" s="221"/>
      <c r="Y111" s="221"/>
      <c r="Z111" s="221"/>
      <c r="AA111" s="221"/>
      <c r="AB111" s="252"/>
      <c r="AC111" s="252"/>
      <c r="AD111" s="252"/>
      <c r="AE111" s="252"/>
      <c r="AF111" s="252"/>
    </row>
    <row r="112" spans="1:32" x14ac:dyDescent="0.35">
      <c r="X112" s="221"/>
      <c r="Y112" s="221"/>
      <c r="Z112" s="221"/>
      <c r="AA112" s="221"/>
      <c r="AB112" s="252"/>
      <c r="AC112" s="252"/>
      <c r="AD112" s="252"/>
      <c r="AE112" s="252"/>
      <c r="AF112" s="252"/>
    </row>
    <row r="113" spans="24:32" x14ac:dyDescent="0.35">
      <c r="X113" s="221"/>
      <c r="Y113" s="221"/>
      <c r="Z113" s="221"/>
      <c r="AA113" s="221"/>
      <c r="AB113" s="252"/>
      <c r="AC113" s="252"/>
      <c r="AD113" s="252"/>
      <c r="AE113" s="252"/>
      <c r="AF113" s="252"/>
    </row>
    <row r="114" spans="24:32" x14ac:dyDescent="0.35">
      <c r="X114" s="221"/>
      <c r="Y114" s="221"/>
      <c r="Z114" s="221"/>
      <c r="AA114" s="221"/>
      <c r="AB114" s="252"/>
      <c r="AC114" s="252"/>
      <c r="AD114" s="252"/>
      <c r="AE114" s="252"/>
      <c r="AF114" s="252"/>
    </row>
    <row r="115" spans="24:32" x14ac:dyDescent="0.35">
      <c r="X115" s="221"/>
      <c r="Y115" s="221"/>
      <c r="Z115" s="221"/>
      <c r="AA115" s="221"/>
      <c r="AB115" s="252"/>
      <c r="AC115" s="252"/>
      <c r="AD115" s="252"/>
      <c r="AE115" s="252"/>
      <c r="AF115" s="252"/>
    </row>
    <row r="116" spans="24:32" x14ac:dyDescent="0.35">
      <c r="X116" s="221"/>
      <c r="Y116" s="221"/>
      <c r="Z116" s="221"/>
      <c r="AA116" s="221"/>
      <c r="AB116" s="252"/>
      <c r="AC116" s="252"/>
      <c r="AD116" s="252"/>
      <c r="AE116" s="252"/>
      <c r="AF116" s="252"/>
    </row>
    <row r="117" spans="24:32" x14ac:dyDescent="0.35">
      <c r="X117" s="221"/>
      <c r="Y117" s="221"/>
      <c r="Z117" s="221"/>
      <c r="AA117" s="221"/>
      <c r="AB117" s="252"/>
      <c r="AC117" s="252"/>
      <c r="AD117" s="252"/>
      <c r="AE117" s="252"/>
      <c r="AF117" s="252"/>
    </row>
    <row r="118" spans="24:32" x14ac:dyDescent="0.35">
      <c r="X118" s="221"/>
      <c r="Y118" s="221"/>
      <c r="Z118" s="221"/>
      <c r="AA118" s="221"/>
      <c r="AB118" s="252"/>
      <c r="AC118" s="252"/>
      <c r="AD118" s="252"/>
      <c r="AE118" s="252"/>
      <c r="AF118" s="252"/>
    </row>
    <row r="119" spans="24:32" x14ac:dyDescent="0.35">
      <c r="X119" s="221"/>
      <c r="Y119" s="221"/>
      <c r="Z119" s="221"/>
      <c r="AA119" s="221"/>
      <c r="AB119" s="252"/>
      <c r="AC119" s="252"/>
      <c r="AD119" s="252"/>
      <c r="AE119" s="252"/>
      <c r="AF119" s="252"/>
    </row>
    <row r="120" spans="24:32" x14ac:dyDescent="0.35">
      <c r="X120" s="221"/>
      <c r="Y120" s="221"/>
      <c r="Z120" s="221"/>
      <c r="AA120" s="221"/>
      <c r="AB120" s="252"/>
      <c r="AC120" s="252"/>
      <c r="AD120" s="252"/>
      <c r="AE120" s="252"/>
      <c r="AF120" s="252"/>
    </row>
    <row r="121" spans="24:32" x14ac:dyDescent="0.35">
      <c r="X121" s="221"/>
      <c r="Y121" s="221"/>
      <c r="Z121" s="221"/>
      <c r="AA121" s="221"/>
      <c r="AB121" s="252"/>
      <c r="AC121" s="252"/>
      <c r="AD121" s="252"/>
      <c r="AE121" s="252"/>
      <c r="AF121" s="252"/>
    </row>
    <row r="122" spans="24:32" x14ac:dyDescent="0.35">
      <c r="X122" s="221"/>
      <c r="Y122" s="221"/>
      <c r="Z122" s="221"/>
      <c r="AA122" s="221"/>
      <c r="AB122" s="252"/>
      <c r="AC122" s="252"/>
      <c r="AD122" s="252"/>
      <c r="AE122" s="252"/>
      <c r="AF122" s="252"/>
    </row>
    <row r="123" spans="24:32" x14ac:dyDescent="0.35">
      <c r="X123" s="221"/>
      <c r="Y123" s="221"/>
      <c r="Z123" s="221"/>
      <c r="AA123" s="221"/>
      <c r="AB123" s="252"/>
      <c r="AC123" s="252"/>
      <c r="AD123" s="252"/>
      <c r="AE123" s="252"/>
      <c r="AF123" s="252"/>
    </row>
    <row r="124" spans="24:32" x14ac:dyDescent="0.35">
      <c r="X124" s="221"/>
      <c r="Y124" s="221"/>
      <c r="Z124" s="221"/>
      <c r="AA124" s="221"/>
      <c r="AB124" s="252"/>
      <c r="AC124" s="252"/>
      <c r="AD124" s="252"/>
      <c r="AE124" s="252"/>
      <c r="AF124" s="252"/>
    </row>
    <row r="125" spans="24:32" x14ac:dyDescent="0.35">
      <c r="X125" s="221"/>
      <c r="Y125" s="221"/>
      <c r="Z125" s="221"/>
      <c r="AA125" s="221"/>
      <c r="AB125" s="252"/>
      <c r="AC125" s="252"/>
      <c r="AD125" s="252"/>
      <c r="AE125" s="252"/>
      <c r="AF125" s="252"/>
    </row>
    <row r="126" spans="24:32" x14ac:dyDescent="0.35">
      <c r="X126" s="221"/>
      <c r="Y126" s="221"/>
      <c r="Z126" s="221"/>
      <c r="AA126" s="221"/>
      <c r="AB126" s="252"/>
      <c r="AC126" s="252"/>
      <c r="AD126" s="252"/>
      <c r="AE126" s="252"/>
      <c r="AF126" s="252"/>
    </row>
    <row r="127" spans="24:32" x14ac:dyDescent="0.35">
      <c r="X127" s="221"/>
      <c r="Y127" s="221"/>
      <c r="Z127" s="221"/>
      <c r="AA127" s="221"/>
      <c r="AB127" s="252"/>
      <c r="AC127" s="252"/>
      <c r="AD127" s="252"/>
      <c r="AE127" s="252"/>
      <c r="AF127" s="252"/>
    </row>
    <row r="128" spans="24:32" x14ac:dyDescent="0.35">
      <c r="X128" s="221"/>
      <c r="Y128" s="221"/>
      <c r="Z128" s="221"/>
      <c r="AA128" s="221"/>
      <c r="AB128" s="252"/>
      <c r="AC128" s="252"/>
      <c r="AD128" s="252"/>
      <c r="AE128" s="252"/>
      <c r="AF128" s="252"/>
    </row>
    <row r="129" spans="24:32" x14ac:dyDescent="0.35">
      <c r="X129" s="221"/>
      <c r="Y129" s="221"/>
      <c r="Z129" s="221"/>
      <c r="AA129" s="221"/>
      <c r="AB129" s="252"/>
      <c r="AC129" s="252"/>
      <c r="AD129" s="252"/>
      <c r="AE129" s="252"/>
      <c r="AF129" s="252"/>
    </row>
    <row r="130" spans="24:32" x14ac:dyDescent="0.35">
      <c r="X130" s="221"/>
      <c r="Y130" s="221"/>
      <c r="Z130" s="221"/>
      <c r="AA130" s="221"/>
      <c r="AB130" s="252"/>
      <c r="AC130" s="252"/>
      <c r="AD130" s="252"/>
      <c r="AE130" s="252"/>
      <c r="AF130" s="252"/>
    </row>
    <row r="131" spans="24:32" x14ac:dyDescent="0.35">
      <c r="X131" s="221"/>
      <c r="Y131" s="221"/>
      <c r="Z131" s="221"/>
      <c r="AA131" s="221"/>
      <c r="AB131" s="252"/>
      <c r="AC131" s="252"/>
      <c r="AD131" s="252"/>
      <c r="AE131" s="252"/>
      <c r="AF131" s="252"/>
    </row>
    <row r="132" spans="24:32" x14ac:dyDescent="0.35">
      <c r="X132" s="221"/>
      <c r="Y132" s="221"/>
      <c r="Z132" s="221"/>
      <c r="AA132" s="221"/>
      <c r="AB132" s="252"/>
      <c r="AC132" s="252"/>
      <c r="AD132" s="252"/>
      <c r="AE132" s="252"/>
      <c r="AF132" s="252"/>
    </row>
    <row r="133" spans="24:32" x14ac:dyDescent="0.35">
      <c r="X133" s="221"/>
      <c r="Y133" s="221"/>
      <c r="Z133" s="221"/>
      <c r="AA133" s="221"/>
      <c r="AB133" s="252"/>
      <c r="AC133" s="252"/>
      <c r="AD133" s="252"/>
      <c r="AE133" s="252"/>
      <c r="AF133" s="252"/>
    </row>
    <row r="134" spans="24:32" x14ac:dyDescent="0.35">
      <c r="X134" s="221"/>
      <c r="Y134" s="221"/>
      <c r="Z134" s="221"/>
      <c r="AA134" s="221"/>
      <c r="AB134" s="252"/>
      <c r="AC134" s="252"/>
      <c r="AD134" s="252"/>
      <c r="AE134" s="252"/>
      <c r="AF134" s="252"/>
    </row>
    <row r="135" spans="24:32" x14ac:dyDescent="0.35">
      <c r="X135" s="221"/>
      <c r="Y135" s="221"/>
      <c r="Z135" s="221"/>
      <c r="AA135" s="221"/>
      <c r="AB135" s="252"/>
      <c r="AC135" s="252"/>
      <c r="AD135" s="252"/>
      <c r="AE135" s="252"/>
      <c r="AF135" s="252"/>
    </row>
    <row r="136" spans="24:32" x14ac:dyDescent="0.35">
      <c r="X136" s="221"/>
      <c r="Y136" s="221"/>
      <c r="Z136" s="221"/>
      <c r="AA136" s="221"/>
      <c r="AB136" s="252"/>
      <c r="AC136" s="252"/>
      <c r="AD136" s="252"/>
      <c r="AE136" s="252"/>
      <c r="AF136" s="252"/>
    </row>
    <row r="137" spans="24:32" x14ac:dyDescent="0.35">
      <c r="X137" s="221"/>
      <c r="Y137" s="221"/>
      <c r="Z137" s="221"/>
      <c r="AA137" s="221"/>
      <c r="AB137" s="252"/>
      <c r="AC137" s="252"/>
      <c r="AD137" s="252"/>
      <c r="AE137" s="252"/>
      <c r="AF137" s="252"/>
    </row>
    <row r="138" spans="24:32" x14ac:dyDescent="0.35">
      <c r="X138" s="221"/>
      <c r="Y138" s="221"/>
      <c r="Z138" s="221"/>
      <c r="AA138" s="221"/>
      <c r="AB138" s="252"/>
      <c r="AC138" s="252"/>
      <c r="AD138" s="252"/>
      <c r="AE138" s="252"/>
      <c r="AF138" s="252"/>
    </row>
    <row r="139" spans="24:32" x14ac:dyDescent="0.35">
      <c r="X139" s="221"/>
      <c r="Y139" s="221"/>
      <c r="Z139" s="221"/>
      <c r="AA139" s="221"/>
      <c r="AB139" s="252"/>
      <c r="AC139" s="252"/>
      <c r="AD139" s="252"/>
      <c r="AE139" s="252"/>
      <c r="AF139" s="252"/>
    </row>
    <row r="140" spans="24:32" x14ac:dyDescent="0.35">
      <c r="X140" s="221"/>
      <c r="Y140" s="221"/>
      <c r="Z140" s="221"/>
      <c r="AA140" s="221"/>
      <c r="AB140" s="252"/>
      <c r="AC140" s="252"/>
      <c r="AD140" s="252"/>
      <c r="AE140" s="252"/>
      <c r="AF140" s="252"/>
    </row>
    <row r="141" spans="24:32" x14ac:dyDescent="0.35">
      <c r="X141" s="221"/>
      <c r="Y141" s="221"/>
      <c r="Z141" s="221"/>
      <c r="AA141" s="221"/>
      <c r="AB141" s="252"/>
      <c r="AC141" s="252"/>
      <c r="AD141" s="252"/>
      <c r="AE141" s="252"/>
      <c r="AF141" s="252"/>
    </row>
    <row r="142" spans="24:32" x14ac:dyDescent="0.35">
      <c r="X142" s="221"/>
      <c r="Y142" s="221"/>
      <c r="Z142" s="221"/>
      <c r="AA142" s="221"/>
      <c r="AB142" s="252"/>
      <c r="AC142" s="252"/>
      <c r="AD142" s="252"/>
      <c r="AE142" s="252"/>
      <c r="AF142" s="252"/>
    </row>
    <row r="143" spans="24:32" x14ac:dyDescent="0.35">
      <c r="X143" s="221"/>
      <c r="Y143" s="221"/>
      <c r="Z143" s="221"/>
      <c r="AA143" s="221"/>
      <c r="AB143" s="252"/>
      <c r="AC143" s="252"/>
      <c r="AD143" s="252"/>
      <c r="AE143" s="252"/>
      <c r="AF143" s="252"/>
    </row>
    <row r="144" spans="24:32" x14ac:dyDescent="0.35">
      <c r="X144" s="221"/>
      <c r="Y144" s="221"/>
      <c r="Z144" s="221"/>
      <c r="AA144" s="221"/>
      <c r="AB144" s="252"/>
      <c r="AC144" s="252"/>
      <c r="AD144" s="252"/>
      <c r="AE144" s="252"/>
      <c r="AF144" s="252"/>
    </row>
    <row r="145" spans="24:32" x14ac:dyDescent="0.35">
      <c r="X145" s="221"/>
      <c r="Y145" s="221"/>
      <c r="Z145" s="221"/>
      <c r="AA145" s="221"/>
      <c r="AB145" s="252"/>
      <c r="AC145" s="252"/>
      <c r="AD145" s="252"/>
      <c r="AE145" s="252"/>
      <c r="AF145" s="252"/>
    </row>
    <row r="146" spans="24:32" x14ac:dyDescent="0.35">
      <c r="X146" s="221"/>
      <c r="Y146" s="221"/>
      <c r="Z146" s="221"/>
      <c r="AA146" s="221"/>
      <c r="AB146" s="252"/>
      <c r="AC146" s="252"/>
      <c r="AD146" s="252"/>
      <c r="AE146" s="252"/>
      <c r="AF146" s="252"/>
    </row>
    <row r="147" spans="24:32" x14ac:dyDescent="0.35">
      <c r="X147" s="221"/>
      <c r="Y147" s="221"/>
      <c r="Z147" s="221"/>
      <c r="AA147" s="221"/>
      <c r="AB147" s="252"/>
      <c r="AC147" s="252"/>
      <c r="AD147" s="252"/>
      <c r="AE147" s="252"/>
      <c r="AF147" s="252"/>
    </row>
    <row r="148" spans="24:32" x14ac:dyDescent="0.35">
      <c r="X148" s="221"/>
      <c r="Y148" s="221"/>
      <c r="Z148" s="221"/>
      <c r="AA148" s="221"/>
      <c r="AB148" s="252"/>
      <c r="AC148" s="252"/>
      <c r="AD148" s="252"/>
      <c r="AE148" s="252"/>
      <c r="AF148" s="252"/>
    </row>
    <row r="149" spans="24:32" x14ac:dyDescent="0.35">
      <c r="X149" s="221"/>
      <c r="Y149" s="221"/>
      <c r="Z149" s="221"/>
      <c r="AA149" s="221"/>
      <c r="AB149" s="252"/>
      <c r="AC149" s="252"/>
      <c r="AD149" s="252"/>
      <c r="AE149" s="252"/>
      <c r="AF149" s="252"/>
    </row>
    <row r="150" spans="24:32" x14ac:dyDescent="0.35">
      <c r="X150" s="221"/>
      <c r="Y150" s="221"/>
      <c r="Z150" s="221"/>
      <c r="AA150" s="221"/>
      <c r="AB150" s="252"/>
      <c r="AC150" s="252"/>
      <c r="AD150" s="252"/>
      <c r="AE150" s="252"/>
      <c r="AF150" s="252"/>
    </row>
    <row r="151" spans="24:32" x14ac:dyDescent="0.35">
      <c r="X151" s="221"/>
      <c r="Y151" s="221"/>
      <c r="Z151" s="221"/>
      <c r="AA151" s="221"/>
      <c r="AB151" s="252"/>
      <c r="AC151" s="252"/>
      <c r="AD151" s="252"/>
      <c r="AE151" s="252"/>
      <c r="AF151" s="252"/>
    </row>
    <row r="152" spans="24:32" x14ac:dyDescent="0.35">
      <c r="X152" s="221"/>
      <c r="Y152" s="221"/>
      <c r="Z152" s="221"/>
      <c r="AA152" s="221"/>
      <c r="AB152" s="252"/>
      <c r="AC152" s="252"/>
      <c r="AD152" s="252"/>
      <c r="AE152" s="252"/>
      <c r="AF152" s="252"/>
    </row>
    <row r="153" spans="24:32" x14ac:dyDescent="0.35">
      <c r="X153" s="221"/>
      <c r="Y153" s="221"/>
      <c r="Z153" s="221"/>
      <c r="AA153" s="221"/>
      <c r="AB153" s="252"/>
      <c r="AC153" s="252"/>
      <c r="AD153" s="252"/>
      <c r="AE153" s="252"/>
      <c r="AF153" s="252"/>
    </row>
    <row r="154" spans="24:32" x14ac:dyDescent="0.35">
      <c r="X154" s="221"/>
      <c r="Y154" s="221"/>
      <c r="Z154" s="221"/>
      <c r="AA154" s="221"/>
      <c r="AB154" s="252"/>
      <c r="AC154" s="252"/>
      <c r="AD154" s="252"/>
      <c r="AE154" s="252"/>
      <c r="AF154" s="252"/>
    </row>
    <row r="155" spans="24:32" x14ac:dyDescent="0.35">
      <c r="X155" s="221"/>
      <c r="Y155" s="221"/>
      <c r="Z155" s="221"/>
      <c r="AA155" s="221"/>
      <c r="AB155" s="252"/>
      <c r="AC155" s="252"/>
      <c r="AD155" s="252"/>
      <c r="AE155" s="252"/>
      <c r="AF155" s="252"/>
    </row>
    <row r="156" spans="24:32" x14ac:dyDescent="0.35">
      <c r="X156" s="221"/>
      <c r="Y156" s="221"/>
      <c r="Z156" s="221"/>
      <c r="AA156" s="221"/>
      <c r="AB156" s="252"/>
      <c r="AC156" s="252"/>
      <c r="AD156" s="252"/>
      <c r="AE156" s="252"/>
      <c r="AF156" s="252"/>
    </row>
    <row r="157" spans="24:32" x14ac:dyDescent="0.35">
      <c r="X157" s="221"/>
      <c r="Y157" s="221"/>
      <c r="Z157" s="221"/>
      <c r="AA157" s="221"/>
      <c r="AB157" s="252"/>
      <c r="AC157" s="252"/>
      <c r="AD157" s="252"/>
      <c r="AE157" s="252"/>
      <c r="AF157" s="252"/>
    </row>
    <row r="158" spans="24:32" x14ac:dyDescent="0.35">
      <c r="X158" s="221"/>
      <c r="Y158" s="221"/>
      <c r="Z158" s="221"/>
      <c r="AA158" s="221"/>
      <c r="AB158" s="252"/>
      <c r="AC158" s="252"/>
      <c r="AD158" s="252"/>
      <c r="AE158" s="252"/>
      <c r="AF158" s="252"/>
    </row>
    <row r="159" spans="24:32" x14ac:dyDescent="0.35">
      <c r="X159" s="221"/>
      <c r="Y159" s="221"/>
      <c r="Z159" s="221"/>
      <c r="AA159" s="221"/>
      <c r="AB159" s="252"/>
      <c r="AC159" s="252"/>
      <c r="AD159" s="252"/>
      <c r="AE159" s="252"/>
      <c r="AF159" s="252"/>
    </row>
    <row r="160" spans="24:32" x14ac:dyDescent="0.35">
      <c r="X160" s="221"/>
      <c r="Y160" s="221"/>
      <c r="Z160" s="221"/>
      <c r="AA160" s="221"/>
      <c r="AB160" s="252"/>
      <c r="AC160" s="252"/>
      <c r="AD160" s="252"/>
      <c r="AE160" s="252"/>
      <c r="AF160" s="252"/>
    </row>
    <row r="161" spans="24:32" x14ac:dyDescent="0.35">
      <c r="X161" s="221"/>
      <c r="Y161" s="221"/>
      <c r="Z161" s="221"/>
      <c r="AA161" s="221"/>
      <c r="AB161" s="252"/>
      <c r="AC161" s="252"/>
      <c r="AD161" s="252"/>
      <c r="AE161" s="252"/>
      <c r="AF161" s="252"/>
    </row>
    <row r="162" spans="24:32" x14ac:dyDescent="0.35">
      <c r="X162" s="221"/>
      <c r="Y162" s="221"/>
      <c r="Z162" s="221"/>
      <c r="AA162" s="221"/>
      <c r="AB162" s="252"/>
      <c r="AC162" s="252"/>
      <c r="AD162" s="252"/>
      <c r="AE162" s="252"/>
      <c r="AF162" s="252"/>
    </row>
    <row r="163" spans="24:32" x14ac:dyDescent="0.35">
      <c r="X163" s="221"/>
      <c r="Y163" s="221"/>
      <c r="Z163" s="221"/>
      <c r="AA163" s="221"/>
      <c r="AB163" s="252"/>
      <c r="AC163" s="252"/>
      <c r="AD163" s="252"/>
      <c r="AE163" s="252"/>
      <c r="AF163" s="252"/>
    </row>
    <row r="164" spans="24:32" x14ac:dyDescent="0.35">
      <c r="X164" s="221"/>
      <c r="Y164" s="221"/>
      <c r="Z164" s="221"/>
      <c r="AA164" s="221"/>
      <c r="AB164" s="252"/>
      <c r="AC164" s="252"/>
      <c r="AD164" s="252"/>
      <c r="AE164" s="252"/>
      <c r="AF164" s="252"/>
    </row>
    <row r="165" spans="24:32" x14ac:dyDescent="0.35">
      <c r="X165" s="221"/>
      <c r="Y165" s="221"/>
      <c r="Z165" s="221"/>
      <c r="AA165" s="221"/>
      <c r="AB165" s="252"/>
      <c r="AC165" s="252"/>
      <c r="AD165" s="252"/>
      <c r="AE165" s="252"/>
      <c r="AF165" s="252"/>
    </row>
    <row r="166" spans="24:32" x14ac:dyDescent="0.35">
      <c r="X166" s="221"/>
      <c r="Y166" s="221"/>
      <c r="Z166" s="221"/>
      <c r="AA166" s="221"/>
      <c r="AB166" s="252"/>
      <c r="AC166" s="252"/>
      <c r="AD166" s="252"/>
      <c r="AE166" s="252"/>
      <c r="AF166" s="252"/>
    </row>
    <row r="167" spans="24:32" x14ac:dyDescent="0.35">
      <c r="X167" s="221"/>
      <c r="Y167" s="221"/>
      <c r="Z167" s="221"/>
      <c r="AA167" s="221"/>
      <c r="AB167" s="252"/>
      <c r="AC167" s="252"/>
      <c r="AD167" s="252"/>
      <c r="AE167" s="252"/>
      <c r="AF167" s="252"/>
    </row>
    <row r="168" spans="24:32" x14ac:dyDescent="0.35">
      <c r="X168" s="221"/>
      <c r="Y168" s="221"/>
      <c r="Z168" s="221"/>
      <c r="AA168" s="221"/>
      <c r="AB168" s="252"/>
      <c r="AC168" s="252"/>
      <c r="AD168" s="252"/>
      <c r="AE168" s="252"/>
      <c r="AF168" s="252"/>
    </row>
    <row r="169" spans="24:32" x14ac:dyDescent="0.35">
      <c r="X169" s="221"/>
      <c r="Y169" s="221"/>
      <c r="Z169" s="221"/>
      <c r="AA169" s="221"/>
      <c r="AB169" s="252"/>
      <c r="AC169" s="252"/>
      <c r="AD169" s="252"/>
      <c r="AE169" s="252"/>
      <c r="AF169" s="252"/>
    </row>
    <row r="170" spans="24:32" x14ac:dyDescent="0.35">
      <c r="X170" s="221"/>
      <c r="Y170" s="221"/>
      <c r="Z170" s="221"/>
      <c r="AA170" s="221"/>
      <c r="AB170" s="252"/>
      <c r="AC170" s="252"/>
      <c r="AD170" s="252"/>
      <c r="AE170" s="252"/>
      <c r="AF170" s="252"/>
    </row>
    <row r="171" spans="24:32" x14ac:dyDescent="0.35">
      <c r="X171" s="221"/>
      <c r="Y171" s="221"/>
      <c r="Z171" s="221"/>
      <c r="AA171" s="221"/>
      <c r="AB171" s="252"/>
      <c r="AC171" s="252"/>
      <c r="AD171" s="252"/>
      <c r="AE171" s="252"/>
      <c r="AF171" s="252"/>
    </row>
    <row r="172" spans="24:32" x14ac:dyDescent="0.35">
      <c r="X172" s="221"/>
      <c r="Y172" s="221"/>
      <c r="Z172" s="221"/>
      <c r="AA172" s="221"/>
      <c r="AB172" s="252"/>
      <c r="AC172" s="252"/>
      <c r="AD172" s="252"/>
      <c r="AE172" s="252"/>
      <c r="AF172" s="252"/>
    </row>
    <row r="173" spans="24:32" x14ac:dyDescent="0.35">
      <c r="X173" s="221"/>
      <c r="Y173" s="221"/>
      <c r="Z173" s="221"/>
      <c r="AA173" s="221"/>
      <c r="AB173" s="252"/>
      <c r="AC173" s="252"/>
      <c r="AD173" s="252"/>
      <c r="AE173" s="252"/>
      <c r="AF173" s="252"/>
    </row>
    <row r="174" spans="24:32" x14ac:dyDescent="0.35">
      <c r="X174" s="221"/>
      <c r="Y174" s="221"/>
      <c r="Z174" s="221"/>
      <c r="AA174" s="221"/>
      <c r="AB174" s="252"/>
      <c r="AC174" s="252"/>
      <c r="AD174" s="252"/>
      <c r="AE174" s="252"/>
      <c r="AF174" s="252"/>
    </row>
    <row r="175" spans="24:32" x14ac:dyDescent="0.35">
      <c r="X175" s="221"/>
      <c r="Y175" s="221"/>
      <c r="Z175" s="221"/>
      <c r="AA175" s="221"/>
      <c r="AB175" s="252"/>
      <c r="AC175" s="252"/>
      <c r="AD175" s="252"/>
      <c r="AE175" s="252"/>
      <c r="AF175" s="252"/>
    </row>
    <row r="176" spans="24:32" x14ac:dyDescent="0.35">
      <c r="X176" s="221"/>
      <c r="Y176" s="221"/>
      <c r="Z176" s="221"/>
      <c r="AA176" s="221"/>
      <c r="AB176" s="252"/>
      <c r="AC176" s="252"/>
      <c r="AD176" s="252"/>
      <c r="AE176" s="252"/>
      <c r="AF176" s="252"/>
    </row>
    <row r="177" spans="24:32" x14ac:dyDescent="0.35">
      <c r="X177" s="221"/>
      <c r="Y177" s="221"/>
      <c r="Z177" s="221"/>
      <c r="AA177" s="221"/>
      <c r="AB177" s="252"/>
      <c r="AC177" s="252"/>
      <c r="AD177" s="252"/>
      <c r="AE177" s="252"/>
      <c r="AF177" s="252"/>
    </row>
    <row r="178" spans="24:32" x14ac:dyDescent="0.35">
      <c r="X178" s="221"/>
      <c r="Y178" s="221"/>
      <c r="Z178" s="221"/>
      <c r="AA178" s="221"/>
      <c r="AB178" s="252"/>
      <c r="AC178" s="252"/>
      <c r="AD178" s="252"/>
      <c r="AE178" s="252"/>
      <c r="AF178" s="252"/>
    </row>
    <row r="179" spans="24:32" x14ac:dyDescent="0.35">
      <c r="X179" s="221"/>
      <c r="Y179" s="221"/>
      <c r="Z179" s="221"/>
      <c r="AA179" s="221"/>
      <c r="AB179" s="252"/>
      <c r="AC179" s="252"/>
      <c r="AD179" s="252"/>
      <c r="AE179" s="252"/>
      <c r="AF179" s="252"/>
    </row>
    <row r="180" spans="24:32" x14ac:dyDescent="0.35">
      <c r="X180" s="221"/>
      <c r="Y180" s="221"/>
      <c r="Z180" s="221"/>
      <c r="AA180" s="221"/>
      <c r="AB180" s="252"/>
      <c r="AC180" s="252"/>
      <c r="AD180" s="252"/>
      <c r="AE180" s="252"/>
      <c r="AF180" s="252"/>
    </row>
    <row r="181" spans="24:32" x14ac:dyDescent="0.35">
      <c r="X181" s="221"/>
      <c r="Y181" s="221"/>
      <c r="Z181" s="221"/>
      <c r="AA181" s="221"/>
      <c r="AB181" s="252"/>
      <c r="AC181" s="252"/>
      <c r="AD181" s="252"/>
      <c r="AE181" s="252"/>
      <c r="AF181" s="252"/>
    </row>
    <row r="182" spans="24:32" x14ac:dyDescent="0.35">
      <c r="X182" s="221"/>
      <c r="Y182" s="221"/>
      <c r="Z182" s="221"/>
      <c r="AA182" s="221"/>
      <c r="AB182" s="252"/>
      <c r="AC182" s="252"/>
      <c r="AD182" s="252"/>
      <c r="AE182" s="252"/>
      <c r="AF182" s="252"/>
    </row>
    <row r="183" spans="24:32" x14ac:dyDescent="0.35">
      <c r="X183" s="221"/>
      <c r="Y183" s="221"/>
      <c r="Z183" s="221"/>
      <c r="AA183" s="221"/>
      <c r="AB183" s="252"/>
      <c r="AC183" s="252"/>
      <c r="AD183" s="252"/>
      <c r="AE183" s="252"/>
      <c r="AF183" s="252"/>
    </row>
    <row r="184" spans="24:32" x14ac:dyDescent="0.35">
      <c r="X184" s="221"/>
      <c r="Y184" s="221"/>
      <c r="Z184" s="221"/>
      <c r="AA184" s="221"/>
      <c r="AB184" s="252"/>
      <c r="AC184" s="252"/>
      <c r="AD184" s="252"/>
      <c r="AE184" s="252"/>
      <c r="AF184" s="252"/>
    </row>
    <row r="185" spans="24:32" x14ac:dyDescent="0.35">
      <c r="X185" s="221"/>
      <c r="Y185" s="221"/>
      <c r="Z185" s="221"/>
      <c r="AA185" s="221"/>
      <c r="AB185" s="252"/>
      <c r="AC185" s="252"/>
      <c r="AD185" s="252"/>
      <c r="AE185" s="252"/>
      <c r="AF185" s="252"/>
    </row>
    <row r="186" spans="24:32" x14ac:dyDescent="0.35">
      <c r="X186" s="221"/>
      <c r="Y186" s="221"/>
      <c r="Z186" s="221"/>
      <c r="AA186" s="221"/>
      <c r="AB186" s="252"/>
      <c r="AC186" s="252"/>
      <c r="AD186" s="252"/>
      <c r="AE186" s="252"/>
      <c r="AF186" s="252"/>
    </row>
    <row r="187" spans="24:32" x14ac:dyDescent="0.35">
      <c r="X187" s="221"/>
      <c r="Y187" s="221"/>
      <c r="Z187" s="221"/>
      <c r="AA187" s="221"/>
      <c r="AB187" s="252"/>
      <c r="AC187" s="252"/>
      <c r="AD187" s="252"/>
      <c r="AE187" s="252"/>
      <c r="AF187" s="252"/>
    </row>
    <row r="188" spans="24:32" x14ac:dyDescent="0.35">
      <c r="X188" s="221"/>
      <c r="Y188" s="221"/>
      <c r="Z188" s="221"/>
      <c r="AA188" s="221"/>
      <c r="AB188" s="252"/>
      <c r="AC188" s="252"/>
      <c r="AD188" s="252"/>
      <c r="AE188" s="252"/>
      <c r="AF188" s="252"/>
    </row>
    <row r="189" spans="24:32" x14ac:dyDescent="0.35">
      <c r="X189" s="221"/>
      <c r="Y189" s="221"/>
      <c r="Z189" s="221"/>
      <c r="AA189" s="221"/>
      <c r="AB189" s="252"/>
      <c r="AC189" s="252"/>
      <c r="AD189" s="252"/>
      <c r="AE189" s="252"/>
      <c r="AF189" s="252"/>
    </row>
    <row r="190" spans="24:32" x14ac:dyDescent="0.35">
      <c r="X190" s="221"/>
      <c r="Y190" s="221"/>
      <c r="Z190" s="221"/>
      <c r="AA190" s="221"/>
      <c r="AB190" s="252"/>
      <c r="AC190" s="252"/>
      <c r="AD190" s="252"/>
      <c r="AE190" s="252"/>
      <c r="AF190" s="252"/>
    </row>
    <row r="191" spans="24:32" x14ac:dyDescent="0.35">
      <c r="X191" s="221"/>
      <c r="Y191" s="221"/>
      <c r="Z191" s="221"/>
      <c r="AA191" s="221"/>
      <c r="AB191" s="252"/>
      <c r="AC191" s="252"/>
      <c r="AD191" s="252"/>
      <c r="AE191" s="252"/>
      <c r="AF191" s="252"/>
    </row>
    <row r="192" spans="24:32" x14ac:dyDescent="0.35">
      <c r="X192" s="221"/>
      <c r="Y192" s="221"/>
      <c r="Z192" s="221"/>
      <c r="AA192" s="221"/>
      <c r="AB192" s="252"/>
      <c r="AC192" s="252"/>
      <c r="AD192" s="252"/>
      <c r="AE192" s="252"/>
      <c r="AF192" s="252"/>
    </row>
    <row r="193" spans="24:32" x14ac:dyDescent="0.35">
      <c r="X193" s="221"/>
      <c r="Y193" s="221"/>
      <c r="Z193" s="221"/>
      <c r="AA193" s="221"/>
      <c r="AB193" s="252"/>
      <c r="AC193" s="252"/>
      <c r="AD193" s="252"/>
      <c r="AE193" s="252"/>
      <c r="AF193" s="252"/>
    </row>
    <row r="194" spans="24:32" x14ac:dyDescent="0.35">
      <c r="X194" s="221"/>
      <c r="Y194" s="221"/>
      <c r="Z194" s="221"/>
      <c r="AA194" s="221"/>
      <c r="AB194" s="252"/>
      <c r="AC194" s="252"/>
      <c r="AD194" s="252"/>
      <c r="AE194" s="252"/>
      <c r="AF194" s="252"/>
    </row>
    <row r="195" spans="24:32" x14ac:dyDescent="0.35">
      <c r="X195" s="221"/>
      <c r="Y195" s="221"/>
      <c r="Z195" s="221"/>
      <c r="AA195" s="221"/>
      <c r="AB195" s="252"/>
      <c r="AC195" s="252"/>
      <c r="AD195" s="252"/>
      <c r="AE195" s="252"/>
      <c r="AF195" s="252"/>
    </row>
    <row r="196" spans="24:32" x14ac:dyDescent="0.35">
      <c r="X196" s="221"/>
      <c r="Y196" s="221"/>
      <c r="Z196" s="221"/>
      <c r="AA196" s="221"/>
      <c r="AB196" s="252"/>
      <c r="AC196" s="252"/>
      <c r="AD196" s="252"/>
      <c r="AE196" s="252"/>
      <c r="AF196" s="252"/>
    </row>
    <row r="197" spans="24:32" x14ac:dyDescent="0.35">
      <c r="X197" s="221"/>
      <c r="Y197" s="221"/>
      <c r="Z197" s="221"/>
      <c r="AA197" s="221"/>
      <c r="AB197" s="252"/>
      <c r="AC197" s="252"/>
      <c r="AD197" s="252"/>
      <c r="AE197" s="252"/>
      <c r="AF197" s="252"/>
    </row>
    <row r="198" spans="24:32" x14ac:dyDescent="0.35">
      <c r="X198" s="221"/>
      <c r="Y198" s="221"/>
      <c r="Z198" s="221"/>
      <c r="AA198" s="221"/>
      <c r="AB198" s="252"/>
      <c r="AC198" s="252"/>
      <c r="AD198" s="252"/>
      <c r="AE198" s="252"/>
      <c r="AF198" s="252"/>
    </row>
    <row r="199" spans="24:32" x14ac:dyDescent="0.35">
      <c r="X199" s="221"/>
      <c r="Y199" s="221"/>
      <c r="Z199" s="221"/>
      <c r="AA199" s="221"/>
      <c r="AB199" s="252"/>
      <c r="AC199" s="252"/>
      <c r="AD199" s="252"/>
      <c r="AE199" s="252"/>
      <c r="AF199" s="252"/>
    </row>
    <row r="200" spans="24:32" x14ac:dyDescent="0.35">
      <c r="X200" s="221"/>
      <c r="Y200" s="221"/>
      <c r="Z200" s="221"/>
      <c r="AA200" s="221"/>
      <c r="AB200" s="252"/>
      <c r="AC200" s="252"/>
      <c r="AD200" s="252"/>
      <c r="AE200" s="252"/>
      <c r="AF200" s="252"/>
    </row>
    <row r="201" spans="24:32" x14ac:dyDescent="0.35">
      <c r="X201" s="221"/>
      <c r="Y201" s="221"/>
      <c r="Z201" s="221"/>
      <c r="AA201" s="221"/>
      <c r="AB201" s="252"/>
      <c r="AC201" s="252"/>
      <c r="AD201" s="252"/>
      <c r="AE201" s="252"/>
      <c r="AF201" s="252"/>
    </row>
    <row r="202" spans="24:32" x14ac:dyDescent="0.35">
      <c r="X202" s="221"/>
      <c r="Y202" s="221"/>
      <c r="Z202" s="221"/>
      <c r="AA202" s="221"/>
      <c r="AB202" s="252"/>
      <c r="AC202" s="252"/>
      <c r="AD202" s="252"/>
      <c r="AE202" s="252"/>
      <c r="AF202" s="252"/>
    </row>
    <row r="203" spans="24:32" x14ac:dyDescent="0.35">
      <c r="X203" s="221"/>
      <c r="Y203" s="221"/>
      <c r="Z203" s="221"/>
      <c r="AA203" s="221"/>
      <c r="AB203" s="252"/>
      <c r="AC203" s="252"/>
      <c r="AD203" s="252"/>
      <c r="AE203" s="252"/>
      <c r="AF203" s="252"/>
    </row>
    <row r="204" spans="24:32" x14ac:dyDescent="0.35">
      <c r="X204" s="221"/>
      <c r="Y204" s="221"/>
      <c r="Z204" s="221"/>
      <c r="AA204" s="221"/>
      <c r="AB204" s="252"/>
      <c r="AC204" s="252"/>
      <c r="AD204" s="252"/>
      <c r="AE204" s="252"/>
      <c r="AF204" s="252"/>
    </row>
    <row r="205" spans="24:32" x14ac:dyDescent="0.35">
      <c r="X205" s="221"/>
      <c r="Y205" s="221"/>
      <c r="Z205" s="221"/>
      <c r="AA205" s="221"/>
      <c r="AB205" s="252"/>
      <c r="AC205" s="252"/>
      <c r="AD205" s="252"/>
      <c r="AE205" s="252"/>
      <c r="AF205" s="252"/>
    </row>
  </sheetData>
  <printOptions gridLines="1"/>
  <pageMargins left="0.78740157499999996" right="0.78740157499999996" top="0.984251969" bottom="0.984251969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BBFD5B-F255-4A80-AF4E-C880FC46F914}">
  <dimension ref="A1:AP283"/>
  <sheetViews>
    <sheetView topLeftCell="A13" workbookViewId="0">
      <selection activeCell="AF36" sqref="AF36"/>
    </sheetView>
  </sheetViews>
  <sheetFormatPr baseColWidth="10" defaultColWidth="10.3984375" defaultRowHeight="12.75" x14ac:dyDescent="0.35"/>
  <cols>
    <col min="1" max="3" width="3.73046875" customWidth="1"/>
    <col min="4" max="4" width="5" bestFit="1" customWidth="1"/>
    <col min="5" max="11" width="3.73046875" customWidth="1"/>
    <col min="12" max="12" width="5" bestFit="1" customWidth="1"/>
    <col min="13" max="20" width="3.73046875" customWidth="1"/>
    <col min="21" max="21" width="10.9296875" bestFit="1" customWidth="1"/>
    <col min="22" max="22" width="4.1328125" bestFit="1" customWidth="1"/>
    <col min="23" max="34" width="3.73046875" customWidth="1"/>
    <col min="35" max="35" width="3" customWidth="1"/>
    <col min="36" max="37" width="3.73046875" customWidth="1"/>
    <col min="38" max="38" width="4" customWidth="1"/>
    <col min="39" max="39" width="7" customWidth="1"/>
    <col min="40" max="40" width="8.86328125" style="3" bestFit="1" customWidth="1"/>
    <col min="41" max="42" width="10.3984375" bestFit="1" customWidth="1"/>
    <col min="43" max="51" width="3.73046875" customWidth="1"/>
    <col min="52" max="62" width="2.73046875" customWidth="1"/>
    <col min="63" max="66" width="3.73046875" customWidth="1"/>
  </cols>
  <sheetData>
    <row r="1" spans="1:35" x14ac:dyDescent="0.35">
      <c r="A1" s="1" t="s">
        <v>168</v>
      </c>
      <c r="AI1" s="2"/>
    </row>
    <row r="2" spans="1:35" x14ac:dyDescent="0.35">
      <c r="I2" t="s">
        <v>22</v>
      </c>
      <c r="AI2" s="2"/>
    </row>
    <row r="3" spans="1:35" x14ac:dyDescent="0.35">
      <c r="A3" s="147" t="s">
        <v>169</v>
      </c>
      <c r="B3" s="53"/>
      <c r="C3" s="53"/>
      <c r="D3" s="53"/>
      <c r="E3" s="53"/>
      <c r="F3" s="54"/>
      <c r="G3" s="75" t="s">
        <v>170</v>
      </c>
      <c r="H3" s="75"/>
      <c r="I3" s="75"/>
      <c r="J3" s="75"/>
      <c r="K3" s="75"/>
      <c r="L3" s="75"/>
      <c r="M3" s="75"/>
      <c r="N3" s="75"/>
      <c r="O3" s="75"/>
      <c r="P3" s="147"/>
      <c r="Q3" s="75" t="s">
        <v>171</v>
      </c>
      <c r="R3" s="75"/>
      <c r="S3" s="75"/>
      <c r="T3" s="75"/>
      <c r="U3" s="75"/>
      <c r="V3" s="75"/>
      <c r="W3" s="75"/>
      <c r="X3" s="75"/>
      <c r="Y3" s="75"/>
      <c r="Z3" s="75"/>
      <c r="AA3" s="75"/>
      <c r="AB3" s="75"/>
      <c r="AC3" s="75"/>
      <c r="AD3" s="75"/>
      <c r="AE3" s="75"/>
      <c r="AF3" s="75"/>
      <c r="AG3" s="75"/>
      <c r="AH3" s="75"/>
      <c r="AI3" s="2"/>
    </row>
    <row r="4" spans="1:35" x14ac:dyDescent="0.35">
      <c r="A4" s="147"/>
      <c r="B4" s="53"/>
      <c r="C4" s="53"/>
      <c r="D4" s="53"/>
      <c r="E4" s="53"/>
      <c r="F4" s="54"/>
      <c r="G4" s="75" t="s">
        <v>172</v>
      </c>
      <c r="H4" s="75"/>
      <c r="I4" s="75" t="s">
        <v>173</v>
      </c>
      <c r="J4" s="75"/>
      <c r="K4" s="75" t="s">
        <v>174</v>
      </c>
      <c r="L4" s="75"/>
      <c r="M4" s="75" t="s">
        <v>175</v>
      </c>
      <c r="N4" s="75"/>
      <c r="O4" s="75" t="s">
        <v>176</v>
      </c>
      <c r="P4" s="147"/>
      <c r="Q4" s="183" t="s">
        <v>177</v>
      </c>
      <c r="R4" s="183"/>
      <c r="S4" s="183" t="s">
        <v>178</v>
      </c>
      <c r="T4" s="183"/>
      <c r="U4" s="183" t="s">
        <v>179</v>
      </c>
      <c r="V4" s="184"/>
      <c r="W4" s="185" t="s">
        <v>180</v>
      </c>
      <c r="X4" s="185"/>
      <c r="Y4" s="185" t="s">
        <v>181</v>
      </c>
      <c r="Z4" s="185"/>
      <c r="AA4" s="185" t="s">
        <v>182</v>
      </c>
      <c r="AB4" s="186"/>
      <c r="AC4" s="181" t="s">
        <v>180</v>
      </c>
      <c r="AD4" s="181"/>
      <c r="AE4" s="181" t="s">
        <v>181</v>
      </c>
      <c r="AF4" s="181"/>
      <c r="AG4" s="181" t="s">
        <v>182</v>
      </c>
      <c r="AH4" s="181"/>
      <c r="AI4" s="2"/>
    </row>
    <row r="5" spans="1:35" x14ac:dyDescent="0.35">
      <c r="A5" s="4" t="s">
        <v>183</v>
      </c>
      <c r="B5" s="5"/>
      <c r="C5" s="5"/>
      <c r="D5" s="5"/>
      <c r="E5" s="5"/>
      <c r="F5" s="6"/>
      <c r="G5" s="145">
        <v>80</v>
      </c>
      <c r="H5" s="145"/>
      <c r="I5" s="145">
        <v>80</v>
      </c>
      <c r="J5" s="145"/>
      <c r="K5" s="145">
        <v>80</v>
      </c>
      <c r="L5" s="145"/>
      <c r="M5" s="145">
        <v>80</v>
      </c>
      <c r="N5" s="145"/>
      <c r="O5" s="145">
        <v>80</v>
      </c>
      <c r="P5" s="145"/>
      <c r="Q5" s="7"/>
      <c r="R5" s="7"/>
      <c r="S5" s="7"/>
      <c r="T5" s="7"/>
      <c r="U5" s="7"/>
      <c r="V5" s="7"/>
      <c r="W5" s="182" t="s">
        <v>175</v>
      </c>
      <c r="X5" s="182"/>
      <c r="Y5" s="182"/>
      <c r="Z5" s="182"/>
      <c r="AA5" s="182"/>
      <c r="AB5" s="182"/>
      <c r="AC5" s="180" t="s">
        <v>184</v>
      </c>
      <c r="AD5" s="180"/>
      <c r="AE5" s="180"/>
      <c r="AF5" s="180"/>
      <c r="AG5" s="180"/>
      <c r="AH5" s="180"/>
      <c r="AI5" s="2"/>
    </row>
    <row r="6" spans="1:35" x14ac:dyDescent="0.35">
      <c r="A6" s="8" t="s">
        <v>185</v>
      </c>
      <c r="B6" s="9"/>
      <c r="C6" s="9"/>
      <c r="D6" s="9"/>
      <c r="E6" s="9"/>
      <c r="F6" s="10"/>
      <c r="G6" s="145">
        <v>100</v>
      </c>
      <c r="H6" s="145"/>
      <c r="I6" s="145">
        <v>100</v>
      </c>
      <c r="J6" s="145"/>
      <c r="K6" s="145">
        <v>100</v>
      </c>
      <c r="L6" s="145"/>
      <c r="M6" s="145">
        <v>100</v>
      </c>
      <c r="N6" s="145"/>
      <c r="O6" s="145">
        <v>100</v>
      </c>
      <c r="P6" s="145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2"/>
    </row>
    <row r="7" spans="1:35" x14ac:dyDescent="0.35">
      <c r="A7" s="8" t="s">
        <v>186</v>
      </c>
      <c r="B7" s="9"/>
      <c r="C7" s="9"/>
      <c r="D7" s="9"/>
      <c r="E7" s="9"/>
      <c r="F7" s="10"/>
      <c r="G7" s="11"/>
      <c r="H7" s="7"/>
      <c r="I7" s="7"/>
      <c r="J7" s="7"/>
      <c r="K7" s="7"/>
      <c r="L7" s="7"/>
      <c r="M7" s="7"/>
      <c r="N7" s="7"/>
      <c r="O7" s="7"/>
      <c r="P7" s="7"/>
      <c r="Q7" s="173">
        <v>3.98</v>
      </c>
      <c r="R7" s="173"/>
      <c r="S7" s="173">
        <v>4.13</v>
      </c>
      <c r="T7" s="173"/>
      <c r="U7" s="173">
        <v>4.3100000000000005</v>
      </c>
      <c r="V7" s="174"/>
      <c r="W7" s="159">
        <v>7.9</v>
      </c>
      <c r="X7" s="159"/>
      <c r="Y7" s="159">
        <v>8.0500000000000007</v>
      </c>
      <c r="Z7" s="159"/>
      <c r="AA7" s="159">
        <v>7.9</v>
      </c>
      <c r="AB7" s="172"/>
      <c r="AC7" s="168">
        <v>9.4</v>
      </c>
      <c r="AD7" s="168"/>
      <c r="AE7" s="168">
        <v>9.5500000000000007</v>
      </c>
      <c r="AF7" s="168"/>
      <c r="AG7" s="168">
        <v>9.73</v>
      </c>
      <c r="AH7" s="168"/>
      <c r="AI7" s="2"/>
    </row>
    <row r="8" spans="1:35" x14ac:dyDescent="0.35">
      <c r="A8" s="8" t="s">
        <v>187</v>
      </c>
      <c r="B8" s="9"/>
      <c r="C8" s="9"/>
      <c r="D8" s="9"/>
      <c r="E8" s="9"/>
      <c r="F8" s="10"/>
      <c r="G8" s="11"/>
      <c r="H8" s="7"/>
      <c r="I8" s="7" t="s">
        <v>22</v>
      </c>
      <c r="J8" s="7"/>
      <c r="K8" s="7"/>
      <c r="L8" s="7"/>
      <c r="M8" s="7"/>
      <c r="N8" s="7"/>
      <c r="O8" s="7"/>
      <c r="P8" s="7"/>
      <c r="Q8" s="173">
        <f>Q7*2</f>
        <v>7.96</v>
      </c>
      <c r="R8" s="173"/>
      <c r="S8" s="173">
        <f>S7*2</f>
        <v>8.26</v>
      </c>
      <c r="T8" s="173"/>
      <c r="U8" s="173">
        <f>U7*2</f>
        <v>8.620000000000001</v>
      </c>
      <c r="V8" s="174"/>
      <c r="W8" s="159">
        <f>W7*2</f>
        <v>15.8</v>
      </c>
      <c r="X8" s="159"/>
      <c r="Y8" s="159">
        <f>Y7*2</f>
        <v>16.100000000000001</v>
      </c>
      <c r="Z8" s="159"/>
      <c r="AA8" s="159">
        <f>AA7*2</f>
        <v>15.8</v>
      </c>
      <c r="AB8" s="172"/>
      <c r="AC8" s="168">
        <f>AC7*2</f>
        <v>18.8</v>
      </c>
      <c r="AD8" s="168"/>
      <c r="AE8" s="168">
        <f>AE7*2</f>
        <v>19.100000000000001</v>
      </c>
      <c r="AF8" s="168"/>
      <c r="AG8" s="168">
        <f>AG7*2</f>
        <v>19.46</v>
      </c>
      <c r="AH8" s="168"/>
      <c r="AI8" s="2"/>
    </row>
    <row r="9" spans="1:35" x14ac:dyDescent="0.35">
      <c r="A9" s="8" t="s">
        <v>188</v>
      </c>
      <c r="B9" s="9"/>
      <c r="C9" s="9"/>
      <c r="D9" s="9"/>
      <c r="E9" s="9"/>
      <c r="F9" s="10"/>
      <c r="G9" s="11"/>
      <c r="H9" s="7"/>
      <c r="I9" s="7"/>
      <c r="J9" s="7"/>
      <c r="K9" s="7"/>
      <c r="L9" s="7"/>
      <c r="M9" s="7"/>
      <c r="N9" s="7"/>
      <c r="O9" s="7"/>
      <c r="P9" s="7"/>
      <c r="Q9" s="173">
        <f>Q7*3</f>
        <v>11.94</v>
      </c>
      <c r="R9" s="173"/>
      <c r="S9" s="173">
        <f>S7*3</f>
        <v>12.39</v>
      </c>
      <c r="T9" s="173"/>
      <c r="U9" s="173">
        <f>U7*3</f>
        <v>12.930000000000001</v>
      </c>
      <c r="V9" s="174"/>
      <c r="W9" s="159">
        <f>W7*3</f>
        <v>23.700000000000003</v>
      </c>
      <c r="X9" s="159"/>
      <c r="Y9" s="159">
        <f>Y7*3</f>
        <v>24.150000000000002</v>
      </c>
      <c r="Z9" s="159"/>
      <c r="AA9" s="159">
        <f>AA7*3</f>
        <v>23.700000000000003</v>
      </c>
      <c r="AB9" s="172"/>
      <c r="AC9" s="168">
        <f>AC7*3</f>
        <v>28.200000000000003</v>
      </c>
      <c r="AD9" s="168"/>
      <c r="AE9" s="168">
        <f>AE7*3</f>
        <v>28.650000000000002</v>
      </c>
      <c r="AF9" s="168"/>
      <c r="AG9" s="168">
        <f>AG7*3</f>
        <v>29.19</v>
      </c>
      <c r="AH9" s="168"/>
      <c r="AI9" s="2"/>
    </row>
    <row r="10" spans="1:35" x14ac:dyDescent="0.35">
      <c r="A10" s="8" t="s">
        <v>189</v>
      </c>
      <c r="B10" s="9"/>
      <c r="C10" s="9"/>
      <c r="D10" s="9"/>
      <c r="E10" s="9"/>
      <c r="F10" s="10"/>
      <c r="G10" s="11"/>
      <c r="H10" s="7"/>
      <c r="I10" s="7" t="s">
        <v>22</v>
      </c>
      <c r="J10" s="7"/>
      <c r="K10" s="7"/>
      <c r="L10" s="7"/>
      <c r="M10" s="7"/>
      <c r="N10" s="7"/>
      <c r="O10" s="7"/>
      <c r="P10" s="7"/>
      <c r="Q10" s="173">
        <f>Q7*4</f>
        <v>15.92</v>
      </c>
      <c r="R10" s="173"/>
      <c r="S10" s="173">
        <f>S7*4</f>
        <v>16.52</v>
      </c>
      <c r="T10" s="173"/>
      <c r="U10" s="173">
        <f>U7*4</f>
        <v>17.240000000000002</v>
      </c>
      <c r="V10" s="174"/>
      <c r="W10" s="159">
        <f>W7*4</f>
        <v>31.6</v>
      </c>
      <c r="X10" s="159"/>
      <c r="Y10" s="159">
        <f>Y7*4</f>
        <v>32.200000000000003</v>
      </c>
      <c r="Z10" s="159"/>
      <c r="AA10" s="159">
        <f>AA7*4</f>
        <v>31.6</v>
      </c>
      <c r="AB10" s="172"/>
      <c r="AC10" s="168">
        <f>AC7*4</f>
        <v>37.6</v>
      </c>
      <c r="AD10" s="168"/>
      <c r="AE10" s="168">
        <f>AE7*4</f>
        <v>38.200000000000003</v>
      </c>
      <c r="AF10" s="168"/>
      <c r="AG10" s="168">
        <f>AG7*4</f>
        <v>38.92</v>
      </c>
      <c r="AH10" s="168"/>
      <c r="AI10" s="2"/>
    </row>
    <row r="11" spans="1:35" x14ac:dyDescent="0.35">
      <c r="A11" s="9"/>
      <c r="B11" s="9"/>
      <c r="C11" s="9"/>
      <c r="D11" s="9"/>
      <c r="E11" s="9"/>
      <c r="F11" s="9"/>
      <c r="G11" s="11"/>
      <c r="H11" s="7"/>
      <c r="I11" s="7"/>
      <c r="J11" s="7"/>
      <c r="K11" s="7"/>
      <c r="L11" s="7"/>
      <c r="M11" s="7"/>
      <c r="N11" s="7"/>
      <c r="O11" s="7"/>
      <c r="P11" s="7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2"/>
    </row>
    <row r="12" spans="1:35" x14ac:dyDescent="0.35">
      <c r="A12" s="8" t="s">
        <v>190</v>
      </c>
      <c r="B12" s="9"/>
      <c r="C12" s="9"/>
      <c r="D12" s="9"/>
      <c r="E12" s="9"/>
      <c r="F12" s="10"/>
      <c r="G12" s="12"/>
      <c r="H12" s="7"/>
      <c r="I12" s="7" t="s">
        <v>22</v>
      </c>
      <c r="J12" s="7"/>
      <c r="K12" s="7"/>
      <c r="L12" s="7"/>
      <c r="M12" s="7"/>
      <c r="N12" s="7"/>
      <c r="O12" s="7"/>
      <c r="P12" s="13"/>
      <c r="Q12" s="175">
        <v>3.18</v>
      </c>
      <c r="R12" s="175"/>
      <c r="S12" s="175">
        <v>3.3000000000000003</v>
      </c>
      <c r="T12" s="175"/>
      <c r="U12" s="175">
        <v>3.45</v>
      </c>
      <c r="V12" s="176"/>
      <c r="W12" s="177">
        <v>6.32</v>
      </c>
      <c r="X12" s="177"/>
      <c r="Y12" s="177">
        <v>6.44</v>
      </c>
      <c r="Z12" s="177"/>
      <c r="AA12" s="177">
        <v>6.32</v>
      </c>
      <c r="AB12" s="178"/>
      <c r="AC12" s="179">
        <v>7.5200000000000005</v>
      </c>
      <c r="AD12" s="179"/>
      <c r="AE12" s="179">
        <v>7.6400000000000006</v>
      </c>
      <c r="AF12" s="179"/>
      <c r="AG12" s="179">
        <v>7.78</v>
      </c>
      <c r="AH12" s="179"/>
      <c r="AI12" s="2"/>
    </row>
    <row r="13" spans="1:35" x14ac:dyDescent="0.35">
      <c r="A13" s="8" t="s">
        <v>191</v>
      </c>
      <c r="B13" s="9"/>
      <c r="C13" s="9"/>
      <c r="D13" s="9"/>
      <c r="E13" s="9"/>
      <c r="F13" s="10"/>
      <c r="G13" s="12"/>
      <c r="H13" s="7"/>
      <c r="I13" s="7"/>
      <c r="J13" s="7"/>
      <c r="K13" s="7"/>
      <c r="L13" s="7"/>
      <c r="M13" s="7"/>
      <c r="N13" s="7"/>
      <c r="O13" s="7"/>
      <c r="P13" s="13"/>
      <c r="Q13" s="173">
        <v>3.98</v>
      </c>
      <c r="R13" s="173"/>
      <c r="S13" s="173">
        <v>4.13</v>
      </c>
      <c r="T13" s="173"/>
      <c r="U13" s="173">
        <v>4.3100000000000005</v>
      </c>
      <c r="V13" s="174"/>
      <c r="W13" s="159">
        <v>7.9</v>
      </c>
      <c r="X13" s="159"/>
      <c r="Y13" s="159">
        <v>8.0500000000000007</v>
      </c>
      <c r="Z13" s="159"/>
      <c r="AA13" s="159">
        <v>7.9</v>
      </c>
      <c r="AB13" s="172"/>
      <c r="AC13" s="168">
        <v>9.4</v>
      </c>
      <c r="AD13" s="168"/>
      <c r="AE13" s="168">
        <v>9.5500000000000007</v>
      </c>
      <c r="AF13" s="168"/>
      <c r="AG13" s="168">
        <v>9.73</v>
      </c>
      <c r="AH13" s="168"/>
      <c r="AI13" s="2"/>
    </row>
    <row r="14" spans="1:35" x14ac:dyDescent="0.35">
      <c r="A14" s="12" t="s">
        <v>192</v>
      </c>
      <c r="B14" s="11"/>
      <c r="C14" s="11"/>
      <c r="D14" s="11"/>
      <c r="E14" s="11"/>
      <c r="F14" s="14"/>
      <c r="G14" s="11"/>
      <c r="H14" s="7"/>
      <c r="I14" s="7" t="s">
        <v>22</v>
      </c>
      <c r="J14" s="7"/>
      <c r="K14" s="7"/>
      <c r="L14" s="7"/>
      <c r="M14" s="7"/>
      <c r="N14" s="7"/>
      <c r="O14" s="7"/>
      <c r="P14" s="7"/>
      <c r="Q14" s="169">
        <v>0.27</v>
      </c>
      <c r="R14" s="169"/>
      <c r="S14" s="169">
        <v>0.28000000000000003</v>
      </c>
      <c r="T14" s="169"/>
      <c r="U14" s="169">
        <v>0.28999999999999998</v>
      </c>
      <c r="V14" s="169"/>
      <c r="W14" s="170">
        <v>0.53</v>
      </c>
      <c r="X14" s="170"/>
      <c r="Y14" s="170">
        <v>0.54</v>
      </c>
      <c r="Z14" s="170"/>
      <c r="AA14" s="170">
        <v>0.54</v>
      </c>
      <c r="AB14" s="170"/>
      <c r="AC14" s="171">
        <v>0.63</v>
      </c>
      <c r="AD14" s="171"/>
      <c r="AE14" s="171">
        <v>0.64</v>
      </c>
      <c r="AF14" s="171"/>
      <c r="AG14" s="171">
        <v>0.65</v>
      </c>
      <c r="AH14" s="171"/>
      <c r="AI14" s="2"/>
    </row>
    <row r="15" spans="1:35" x14ac:dyDescent="0.35">
      <c r="A15" s="165" t="s">
        <v>193</v>
      </c>
      <c r="B15" s="166"/>
      <c r="C15" s="166"/>
      <c r="D15" s="166"/>
      <c r="E15" s="166"/>
      <c r="F15" s="167"/>
      <c r="G15" s="4"/>
      <c r="H15" s="15"/>
      <c r="I15" s="16"/>
      <c r="J15" s="17"/>
      <c r="K15" s="17"/>
      <c r="L15" s="17"/>
      <c r="M15" s="17"/>
      <c r="N15" s="17"/>
      <c r="O15" s="17"/>
      <c r="P15" s="18" t="s">
        <v>194</v>
      </c>
      <c r="Q15" s="164">
        <v>0</v>
      </c>
      <c r="R15" s="164"/>
      <c r="S15" s="164">
        <v>0</v>
      </c>
      <c r="T15" s="164"/>
      <c r="U15" s="164">
        <v>0</v>
      </c>
      <c r="V15" s="164"/>
      <c r="W15" s="164">
        <v>0</v>
      </c>
      <c r="X15" s="164"/>
      <c r="Y15" s="164">
        <v>0</v>
      </c>
      <c r="Z15" s="164"/>
      <c r="AA15" s="164">
        <v>0</v>
      </c>
      <c r="AB15" s="164"/>
      <c r="AC15" s="164">
        <v>0</v>
      </c>
      <c r="AD15" s="164"/>
      <c r="AE15" s="164">
        <v>0</v>
      </c>
      <c r="AF15" s="164"/>
      <c r="AG15" s="164">
        <v>0</v>
      </c>
      <c r="AH15" s="164"/>
      <c r="AI15" s="2"/>
    </row>
    <row r="16" spans="1:35" x14ac:dyDescent="0.35">
      <c r="A16" s="4"/>
      <c r="B16" s="5"/>
      <c r="C16" s="5"/>
      <c r="D16" s="5"/>
      <c r="E16" s="5"/>
      <c r="F16" s="6"/>
      <c r="G16" s="11"/>
      <c r="H16" s="7"/>
      <c r="I16" s="7" t="s">
        <v>22</v>
      </c>
      <c r="J16" s="7"/>
      <c r="K16" s="7"/>
      <c r="L16" s="7"/>
      <c r="M16" s="7"/>
      <c r="N16" s="7"/>
      <c r="O16" s="7"/>
      <c r="P16" s="7"/>
      <c r="Q16" s="163"/>
      <c r="R16" s="163"/>
      <c r="S16" s="163"/>
      <c r="T16" s="163"/>
      <c r="U16" s="163"/>
      <c r="V16" s="163"/>
      <c r="W16" s="163"/>
      <c r="X16" s="163"/>
      <c r="Y16" s="163"/>
      <c r="Z16" s="163"/>
      <c r="AA16" s="163"/>
      <c r="AB16" s="163"/>
      <c r="AC16" s="163"/>
      <c r="AD16" s="163"/>
      <c r="AE16" s="163">
        <v>0</v>
      </c>
      <c r="AF16" s="163"/>
      <c r="AG16" s="163"/>
      <c r="AH16" s="163"/>
      <c r="AI16" s="2"/>
    </row>
    <row r="17" spans="1:42" x14ac:dyDescent="0.35">
      <c r="A17" s="8"/>
      <c r="B17" s="9"/>
      <c r="C17" s="9"/>
      <c r="D17" s="9"/>
      <c r="E17" s="9"/>
      <c r="F17" s="10"/>
      <c r="G17" s="11"/>
      <c r="H17" s="7"/>
      <c r="I17" s="7"/>
      <c r="J17" s="7"/>
      <c r="K17" s="7"/>
      <c r="L17" s="7"/>
      <c r="M17" s="7"/>
      <c r="N17" s="7"/>
      <c r="O17" s="7"/>
      <c r="P17" s="7"/>
      <c r="Q17" s="145"/>
      <c r="R17" s="145"/>
      <c r="S17" s="145"/>
      <c r="T17" s="145"/>
      <c r="U17" s="145"/>
      <c r="V17" s="145"/>
      <c r="W17" s="145"/>
      <c r="X17" s="145"/>
      <c r="Y17" s="145"/>
      <c r="Z17" s="145"/>
      <c r="AA17" s="145"/>
      <c r="AB17" s="145"/>
      <c r="AC17" s="145"/>
      <c r="AD17" s="145"/>
      <c r="AE17" s="145"/>
      <c r="AF17" s="145"/>
      <c r="AG17" s="145"/>
      <c r="AH17" s="145"/>
      <c r="AI17" s="2"/>
    </row>
    <row r="18" spans="1:42" x14ac:dyDescent="0.35">
      <c r="A18" s="8"/>
      <c r="B18" s="9"/>
      <c r="C18" s="9"/>
      <c r="D18" s="9"/>
      <c r="E18" s="9"/>
      <c r="F18" s="10"/>
      <c r="G18" s="11"/>
      <c r="H18" s="7"/>
      <c r="I18" s="7" t="s">
        <v>22</v>
      </c>
      <c r="J18" s="7"/>
      <c r="K18" s="7"/>
      <c r="L18" s="7"/>
      <c r="M18" s="7"/>
      <c r="N18" s="7"/>
      <c r="O18" s="7"/>
      <c r="P18" s="7"/>
      <c r="Q18" s="145"/>
      <c r="R18" s="145"/>
      <c r="S18" s="145"/>
      <c r="T18" s="145"/>
      <c r="U18" s="145"/>
      <c r="V18" s="145"/>
      <c r="W18" s="145"/>
      <c r="X18" s="145"/>
      <c r="Y18" s="145"/>
      <c r="Z18" s="145"/>
      <c r="AA18" s="145"/>
      <c r="AB18" s="145"/>
      <c r="AC18" s="145"/>
      <c r="AD18" s="145"/>
      <c r="AE18" s="145"/>
      <c r="AF18" s="145"/>
      <c r="AG18" s="145"/>
      <c r="AH18" s="145"/>
      <c r="AI18" s="2"/>
    </row>
    <row r="19" spans="1:42" x14ac:dyDescent="0.3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19"/>
    </row>
    <row r="20" spans="1:42" x14ac:dyDescent="0.35">
      <c r="I20" t="s">
        <v>22</v>
      </c>
      <c r="AI20" s="19"/>
    </row>
    <row r="21" spans="1:42" x14ac:dyDescent="0.35">
      <c r="A21" s="1" t="s">
        <v>195</v>
      </c>
      <c r="B21" s="1"/>
      <c r="C21" s="1"/>
      <c r="D21" s="20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19"/>
    </row>
    <row r="22" spans="1:42" x14ac:dyDescent="0.35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19"/>
    </row>
    <row r="23" spans="1:42" x14ac:dyDescent="0.35">
      <c r="A23" s="74" t="s">
        <v>196</v>
      </c>
      <c r="B23" s="74"/>
      <c r="C23" s="74"/>
      <c r="D23" s="23">
        <v>86</v>
      </c>
      <c r="E23" s="23"/>
      <c r="F23" s="21" t="s">
        <v>197</v>
      </c>
      <c r="G23" s="21"/>
      <c r="H23" s="21" t="s">
        <v>198</v>
      </c>
      <c r="I23" s="21"/>
      <c r="J23" s="21"/>
      <c r="K23" s="21"/>
      <c r="L23" s="23">
        <v>265.10000000000002</v>
      </c>
      <c r="M23" s="23"/>
      <c r="N23" s="21" t="s">
        <v>199</v>
      </c>
      <c r="O23" s="21"/>
      <c r="P23" s="21" t="s">
        <v>200</v>
      </c>
      <c r="Q23" s="21"/>
      <c r="R23" s="21"/>
      <c r="S23" s="21"/>
      <c r="T23" s="23">
        <v>501.3</v>
      </c>
      <c r="U23" s="23"/>
      <c r="V23" s="21" t="s">
        <v>199</v>
      </c>
      <c r="W23" s="21"/>
      <c r="X23" s="21" t="s">
        <v>201</v>
      </c>
      <c r="Y23" s="21"/>
      <c r="Z23" s="21"/>
      <c r="AA23" s="21"/>
      <c r="AB23" s="23">
        <v>626.30000000000007</v>
      </c>
      <c r="AC23" s="23"/>
      <c r="AD23" s="21" t="s">
        <v>199</v>
      </c>
      <c r="AE23" s="21"/>
      <c r="AF23" s="7"/>
      <c r="AG23" s="7"/>
      <c r="AH23" s="7"/>
      <c r="AI23" s="19"/>
      <c r="AL23" s="7">
        <v>1</v>
      </c>
      <c r="AM23" s="7" t="s">
        <v>174</v>
      </c>
      <c r="AN23" s="3">
        <v>501.3</v>
      </c>
      <c r="AO23" s="22">
        <v>511.3</v>
      </c>
      <c r="AP23" s="22">
        <v>521.29999999999995</v>
      </c>
    </row>
    <row r="24" spans="1:42" x14ac:dyDescent="0.35">
      <c r="A24" s="74" t="s">
        <v>202</v>
      </c>
      <c r="B24" s="74"/>
      <c r="C24" s="74"/>
      <c r="D24" s="23">
        <v>100</v>
      </c>
      <c r="E24" s="23"/>
      <c r="F24" s="21" t="s">
        <v>197</v>
      </c>
      <c r="G24" s="21"/>
      <c r="H24" s="21" t="s">
        <v>203</v>
      </c>
      <c r="I24" s="21"/>
      <c r="J24" s="21"/>
      <c r="K24" s="21"/>
      <c r="L24" s="23">
        <v>275.10000000000002</v>
      </c>
      <c r="M24" s="23"/>
      <c r="N24" s="21" t="s">
        <v>199</v>
      </c>
      <c r="O24" s="21"/>
      <c r="P24" s="21" t="s">
        <v>204</v>
      </c>
      <c r="Q24" s="21"/>
      <c r="R24" s="21"/>
      <c r="S24" s="21"/>
      <c r="T24" s="23">
        <v>511.3</v>
      </c>
      <c r="U24" s="23"/>
      <c r="V24" s="21" t="s">
        <v>199</v>
      </c>
      <c r="W24" s="21"/>
      <c r="X24" s="21" t="s">
        <v>205</v>
      </c>
      <c r="Y24" s="21"/>
      <c r="Z24" s="21"/>
      <c r="AA24" s="21"/>
      <c r="AB24" s="23">
        <v>636.30000000000007</v>
      </c>
      <c r="AC24" s="23"/>
      <c r="AD24" s="21" t="s">
        <v>199</v>
      </c>
      <c r="AE24" s="21"/>
      <c r="AF24" s="7"/>
      <c r="AG24" s="7"/>
      <c r="AH24" s="7"/>
      <c r="AI24" s="19"/>
      <c r="AL24" s="7">
        <v>2</v>
      </c>
      <c r="AM24" s="7" t="s">
        <v>175</v>
      </c>
      <c r="AN24" s="3">
        <v>526</v>
      </c>
      <c r="AO24" s="22">
        <v>536.29999999999995</v>
      </c>
      <c r="AP24" s="22">
        <v>546.30000000000007</v>
      </c>
    </row>
    <row r="25" spans="1:42" x14ac:dyDescent="0.35">
      <c r="A25" s="74" t="s">
        <v>174</v>
      </c>
      <c r="B25" s="74"/>
      <c r="C25" s="74"/>
      <c r="D25" s="23">
        <v>235</v>
      </c>
      <c r="E25" s="23"/>
      <c r="F25" s="21" t="s">
        <v>197</v>
      </c>
      <c r="G25" s="21"/>
      <c r="H25" s="21" t="s">
        <v>206</v>
      </c>
      <c r="I25" s="21"/>
      <c r="J25" s="21"/>
      <c r="K25" s="21"/>
      <c r="L25" s="23">
        <v>287.10000000000002</v>
      </c>
      <c r="M25" s="23"/>
      <c r="N25" s="21" t="s">
        <v>199</v>
      </c>
      <c r="O25" s="21"/>
      <c r="P25" s="21" t="s">
        <v>207</v>
      </c>
      <c r="Q25" s="21"/>
      <c r="R25" s="21"/>
      <c r="S25" s="21"/>
      <c r="T25" s="23">
        <v>521.29999999999995</v>
      </c>
      <c r="U25" s="23"/>
      <c r="V25" s="21" t="s">
        <v>199</v>
      </c>
      <c r="W25" s="21"/>
      <c r="X25" s="21" t="s">
        <v>208</v>
      </c>
      <c r="Y25" s="21"/>
      <c r="Z25" s="21"/>
      <c r="AA25" s="21"/>
      <c r="AB25" s="23">
        <v>648.30000000000007</v>
      </c>
      <c r="AC25" s="23"/>
      <c r="AD25" s="21" t="s">
        <v>199</v>
      </c>
      <c r="AE25" s="21"/>
      <c r="AF25" s="7"/>
      <c r="AG25" s="7"/>
      <c r="AH25" s="7"/>
      <c r="AI25" s="19"/>
      <c r="AL25" s="7">
        <v>3</v>
      </c>
      <c r="AM25" s="7" t="s">
        <v>176</v>
      </c>
      <c r="AN25" s="3">
        <v>626.30000000000007</v>
      </c>
      <c r="AO25" s="22">
        <v>636.30000000000007</v>
      </c>
      <c r="AP25" s="22">
        <v>648.30000000000007</v>
      </c>
    </row>
    <row r="26" spans="1:42" x14ac:dyDescent="0.35">
      <c r="A26" s="74" t="s">
        <v>175</v>
      </c>
      <c r="B26" s="74"/>
      <c r="C26" s="74"/>
      <c r="D26" s="23">
        <v>250</v>
      </c>
      <c r="E26" s="23"/>
      <c r="F26" s="21" t="s">
        <v>197</v>
      </c>
      <c r="G26" s="21"/>
      <c r="H26" s="7"/>
      <c r="I26" s="7"/>
      <c r="J26" s="7"/>
      <c r="K26" s="7"/>
      <c r="L26" s="7"/>
      <c r="M26" s="7"/>
      <c r="N26" s="7"/>
      <c r="O26" s="7"/>
      <c r="P26" s="21" t="s">
        <v>209</v>
      </c>
      <c r="Q26" s="21"/>
      <c r="R26" s="21"/>
      <c r="S26" s="21"/>
      <c r="T26" s="23">
        <v>526</v>
      </c>
      <c r="U26" s="23"/>
      <c r="V26" s="21" t="s">
        <v>199</v>
      </c>
      <c r="W26" s="21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19"/>
      <c r="AL26" s="7">
        <v>4</v>
      </c>
      <c r="AM26" s="7" t="s">
        <v>210</v>
      </c>
      <c r="AN26" s="3">
        <v>647</v>
      </c>
      <c r="AO26" s="22">
        <v>657</v>
      </c>
      <c r="AP26" s="22">
        <v>668</v>
      </c>
    </row>
    <row r="27" spans="1:42" x14ac:dyDescent="0.35">
      <c r="A27" s="8" t="s">
        <v>176</v>
      </c>
      <c r="B27" s="9"/>
      <c r="C27" s="10"/>
      <c r="D27" s="23">
        <v>310</v>
      </c>
      <c r="E27" s="23"/>
      <c r="F27" s="21" t="s">
        <v>197</v>
      </c>
      <c r="G27" s="21"/>
      <c r="H27" s="7"/>
      <c r="I27" s="7"/>
      <c r="J27" s="7"/>
      <c r="K27" s="7"/>
      <c r="L27" s="7"/>
      <c r="M27" s="7"/>
      <c r="N27" s="7"/>
      <c r="O27" s="7"/>
      <c r="P27" s="21" t="s">
        <v>211</v>
      </c>
      <c r="Q27" s="21"/>
      <c r="R27" s="21"/>
      <c r="S27" s="21"/>
      <c r="T27" s="23">
        <v>536.29999999999995</v>
      </c>
      <c r="U27" s="23"/>
      <c r="V27" s="21" t="s">
        <v>199</v>
      </c>
      <c r="W27" s="21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19"/>
      <c r="AL27" s="7">
        <v>5</v>
      </c>
      <c r="AM27" s="7" t="s">
        <v>212</v>
      </c>
      <c r="AN27" s="3">
        <v>265.10000000000002</v>
      </c>
      <c r="AO27" s="22">
        <v>275.10000000000002</v>
      </c>
      <c r="AP27" s="22">
        <v>287.10000000000002</v>
      </c>
    </row>
    <row r="28" spans="1:42" x14ac:dyDescent="0.35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21" t="s">
        <v>213</v>
      </c>
      <c r="Q28" s="21"/>
      <c r="R28" s="21"/>
      <c r="S28" s="21"/>
      <c r="T28" s="23">
        <v>546.30000000000007</v>
      </c>
      <c r="U28" s="23"/>
      <c r="V28" s="21" t="s">
        <v>199</v>
      </c>
      <c r="W28" s="21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19"/>
      <c r="AL28" s="7">
        <v>6</v>
      </c>
      <c r="AM28" s="7" t="s">
        <v>90</v>
      </c>
    </row>
    <row r="29" spans="1:42" x14ac:dyDescent="0.35">
      <c r="AI29" s="19"/>
      <c r="AL29" s="7">
        <v>7</v>
      </c>
      <c r="AM29" s="7" t="s">
        <v>22</v>
      </c>
    </row>
    <row r="30" spans="1:42" x14ac:dyDescent="0.35">
      <c r="A30" s="1" t="s">
        <v>214</v>
      </c>
      <c r="H30" s="7" t="s">
        <v>215</v>
      </c>
      <c r="I30" s="7"/>
      <c r="J30" s="20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</row>
    <row r="32" spans="1:42" x14ac:dyDescent="0.35">
      <c r="A32">
        <v>1</v>
      </c>
      <c r="B32" s="7" t="s">
        <v>196</v>
      </c>
      <c r="C32" s="7"/>
      <c r="D32" s="23">
        <v>0</v>
      </c>
      <c r="E32" s="23"/>
      <c r="F32" s="24" t="s">
        <v>216</v>
      </c>
      <c r="G32" s="25">
        <v>0.02</v>
      </c>
      <c r="H32" s="162" t="s">
        <v>217</v>
      </c>
      <c r="I32" s="162"/>
      <c r="J32" s="162"/>
      <c r="K32" s="162"/>
      <c r="M32" s="7" t="s">
        <v>218</v>
      </c>
      <c r="N32" s="7"/>
      <c r="O32" s="23">
        <v>0</v>
      </c>
      <c r="P32" s="26"/>
      <c r="Q32" s="7"/>
      <c r="V32" s="7"/>
      <c r="W32" s="7" t="s">
        <v>22</v>
      </c>
      <c r="X32" s="20" t="s">
        <v>219</v>
      </c>
      <c r="Y32" s="7"/>
      <c r="Z32" s="7"/>
      <c r="AA32" s="7"/>
      <c r="AB32" s="7"/>
      <c r="AC32" s="7" t="s">
        <v>220</v>
      </c>
      <c r="AD32" s="7"/>
      <c r="AE32" s="7"/>
      <c r="AF32" s="23">
        <v>0</v>
      </c>
      <c r="AG32" s="23"/>
      <c r="AH32" s="7"/>
      <c r="AI32" s="7"/>
    </row>
    <row r="33" spans="1:41" x14ac:dyDescent="0.35">
      <c r="A33">
        <v>2</v>
      </c>
      <c r="B33" s="7" t="s">
        <v>221</v>
      </c>
      <c r="C33" s="7"/>
      <c r="D33" s="23">
        <v>0.13</v>
      </c>
      <c r="E33" s="23"/>
      <c r="F33" s="24" t="s">
        <v>216</v>
      </c>
      <c r="G33" s="25">
        <v>0.16</v>
      </c>
      <c r="H33" s="7" t="s">
        <v>22</v>
      </c>
      <c r="I33" s="7"/>
      <c r="K33" s="7" t="s">
        <v>22</v>
      </c>
      <c r="M33" s="7" t="s">
        <v>222</v>
      </c>
      <c r="N33" s="7"/>
      <c r="O33" s="23">
        <v>0.2</v>
      </c>
      <c r="P33" s="26"/>
      <c r="Q33" s="7"/>
      <c r="V33" s="7"/>
      <c r="W33" s="7"/>
      <c r="X33" s="7"/>
      <c r="Y33" s="7"/>
      <c r="Z33" s="7"/>
      <c r="AA33" s="7"/>
      <c r="AB33" s="7"/>
      <c r="AC33" s="7" t="s">
        <v>223</v>
      </c>
      <c r="AD33" s="7"/>
      <c r="AE33" s="7"/>
      <c r="AF33" s="23">
        <v>0</v>
      </c>
      <c r="AG33" s="23"/>
      <c r="AH33" s="7"/>
      <c r="AI33" s="7"/>
    </row>
    <row r="34" spans="1:41" x14ac:dyDescent="0.35">
      <c r="A34">
        <v>3</v>
      </c>
      <c r="B34" s="7" t="s">
        <v>224</v>
      </c>
      <c r="C34" s="7"/>
      <c r="D34" s="23">
        <v>0.16</v>
      </c>
      <c r="E34" s="23"/>
      <c r="F34" s="24" t="s">
        <v>216</v>
      </c>
      <c r="G34" s="25">
        <v>0.19</v>
      </c>
      <c r="H34" s="7" t="s">
        <v>22</v>
      </c>
      <c r="I34" s="7"/>
      <c r="K34" s="7" t="s">
        <v>22</v>
      </c>
      <c r="M34" s="7" t="s">
        <v>225</v>
      </c>
      <c r="N34" s="7"/>
      <c r="O34" s="23">
        <v>0.4</v>
      </c>
      <c r="P34" s="26"/>
      <c r="Q34" s="7"/>
      <c r="V34" s="7"/>
      <c r="W34" s="7"/>
      <c r="X34" s="7"/>
      <c r="Y34" s="7"/>
      <c r="Z34" s="7"/>
      <c r="AA34" s="7"/>
      <c r="AB34" s="7"/>
      <c r="AC34" s="7" t="s">
        <v>226</v>
      </c>
      <c r="AD34" s="7"/>
      <c r="AE34" s="7"/>
      <c r="AF34" s="23">
        <v>0</v>
      </c>
      <c r="AG34" s="23"/>
      <c r="AH34" s="7"/>
      <c r="AI34" s="7"/>
    </row>
    <row r="35" spans="1:41" x14ac:dyDescent="0.35">
      <c r="A35">
        <v>4</v>
      </c>
      <c r="B35" s="7" t="s">
        <v>227</v>
      </c>
      <c r="C35" s="7"/>
      <c r="D35" s="23">
        <v>0.17</v>
      </c>
      <c r="E35" s="23"/>
      <c r="F35" s="24" t="s">
        <v>216</v>
      </c>
      <c r="G35" s="25">
        <v>0.21</v>
      </c>
      <c r="H35" s="7" t="s">
        <v>22</v>
      </c>
      <c r="I35" s="7"/>
      <c r="K35" s="7" t="s">
        <v>22</v>
      </c>
      <c r="M35" s="7" t="s">
        <v>228</v>
      </c>
      <c r="N35" s="7"/>
      <c r="O35" s="23">
        <v>0.6</v>
      </c>
      <c r="P35" s="26"/>
      <c r="Q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</row>
    <row r="36" spans="1:41" x14ac:dyDescent="0.35">
      <c r="A36">
        <v>5</v>
      </c>
      <c r="B36" s="7" t="s">
        <v>229</v>
      </c>
      <c r="C36" s="7"/>
      <c r="D36" s="23">
        <v>0.18</v>
      </c>
      <c r="E36" s="23"/>
      <c r="F36" s="24" t="s">
        <v>216</v>
      </c>
      <c r="G36" s="25">
        <v>0.22</v>
      </c>
      <c r="H36" s="7"/>
      <c r="I36" s="7"/>
      <c r="J36" s="7"/>
      <c r="K36" s="7"/>
      <c r="M36" s="7" t="s">
        <v>230</v>
      </c>
      <c r="N36" s="7"/>
      <c r="O36" s="23">
        <v>0.8</v>
      </c>
      <c r="P36" s="26"/>
      <c r="Q36" s="27"/>
      <c r="R36" s="27"/>
      <c r="S36" s="27"/>
      <c r="T36" s="27"/>
      <c r="U36" s="2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</row>
    <row r="37" spans="1:41" x14ac:dyDescent="0.35">
      <c r="A37">
        <v>6</v>
      </c>
      <c r="B37" s="7" t="s">
        <v>231</v>
      </c>
      <c r="D37" s="23">
        <v>0.19</v>
      </c>
      <c r="E37" s="23"/>
      <c r="F37" s="24" t="s">
        <v>216</v>
      </c>
      <c r="G37" s="25">
        <v>0.23</v>
      </c>
      <c r="M37" s="7" t="s">
        <v>232</v>
      </c>
      <c r="N37" s="7"/>
      <c r="O37" s="23">
        <v>1</v>
      </c>
      <c r="P37" s="26"/>
    </row>
    <row r="38" spans="1:41" x14ac:dyDescent="0.35">
      <c r="A38" s="1" t="s">
        <v>233</v>
      </c>
      <c r="M38" s="7" t="s">
        <v>234</v>
      </c>
      <c r="N38" s="7"/>
      <c r="O38" s="23">
        <v>1.2</v>
      </c>
      <c r="P38" s="26"/>
    </row>
    <row r="39" spans="1:41" x14ac:dyDescent="0.35">
      <c r="A39" s="20"/>
      <c r="B39" s="28"/>
      <c r="C39" s="28"/>
      <c r="D39" s="28"/>
      <c r="E39" s="28"/>
      <c r="F39" s="28"/>
      <c r="G39" s="28"/>
      <c r="H39" s="28"/>
      <c r="I39" s="28"/>
      <c r="J39" s="28"/>
      <c r="K39" s="7"/>
      <c r="M39" s="7" t="s">
        <v>235</v>
      </c>
      <c r="N39" s="7"/>
      <c r="O39" s="23">
        <v>1.6</v>
      </c>
      <c r="P39" s="29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 t="s">
        <v>22</v>
      </c>
      <c r="AJ39" s="7"/>
      <c r="AL39" s="30"/>
    </row>
    <row r="40" spans="1:41" x14ac:dyDescent="0.35">
      <c r="B40" s="142" t="s">
        <v>236</v>
      </c>
      <c r="C40" s="143"/>
      <c r="D40" s="143"/>
      <c r="E40" s="143"/>
      <c r="F40" s="143"/>
      <c r="G40" s="143"/>
      <c r="H40" s="143"/>
      <c r="I40" s="143"/>
      <c r="J40" s="144"/>
      <c r="K40" s="139" t="s">
        <v>237</v>
      </c>
      <c r="L40" s="140"/>
      <c r="M40" s="140"/>
      <c r="N40" s="140"/>
      <c r="O40" s="140"/>
      <c r="P40" s="141"/>
      <c r="Q40" s="133" t="s">
        <v>238</v>
      </c>
      <c r="R40" s="134"/>
      <c r="S40" s="134"/>
      <c r="T40" s="134"/>
      <c r="U40" s="134"/>
      <c r="V40" s="134"/>
      <c r="W40" s="134"/>
      <c r="X40" s="134"/>
      <c r="Y40" s="46"/>
      <c r="Z40" s="133" t="s">
        <v>239</v>
      </c>
      <c r="AA40" s="134"/>
      <c r="AB40" s="134"/>
      <c r="AC40" s="134"/>
      <c r="AD40" s="134"/>
      <c r="AE40" s="134"/>
      <c r="AF40" s="134"/>
      <c r="AG40" s="134"/>
      <c r="AH40" s="134"/>
      <c r="AI40" s="134"/>
      <c r="AJ40" s="46"/>
      <c r="AK40" s="31" t="s">
        <v>240</v>
      </c>
      <c r="AL40" s="32"/>
    </row>
    <row r="41" spans="1:41" x14ac:dyDescent="0.35">
      <c r="B41" s="142" t="s">
        <v>241</v>
      </c>
      <c r="C41" s="143"/>
      <c r="D41" s="143"/>
      <c r="E41" s="143"/>
      <c r="F41" s="143"/>
      <c r="G41" s="143"/>
      <c r="H41" s="143"/>
      <c r="I41" s="143"/>
      <c r="J41" s="144"/>
      <c r="K41" s="47" t="s">
        <v>81</v>
      </c>
      <c r="L41" s="154"/>
      <c r="M41" s="47" t="s">
        <v>81</v>
      </c>
      <c r="N41" s="154"/>
      <c r="O41" s="47" t="s">
        <v>34</v>
      </c>
      <c r="P41" s="154"/>
      <c r="Q41" s="135" t="s">
        <v>242</v>
      </c>
      <c r="R41" s="131"/>
      <c r="S41" s="132"/>
      <c r="T41" s="135" t="s">
        <v>243</v>
      </c>
      <c r="U41" s="131"/>
      <c r="V41" s="132"/>
      <c r="W41" s="135" t="s">
        <v>244</v>
      </c>
      <c r="X41" s="131"/>
      <c r="Y41" s="132"/>
      <c r="Z41" s="135" t="s">
        <v>245</v>
      </c>
      <c r="AA41" s="131"/>
      <c r="AB41" s="132"/>
      <c r="AC41" s="135" t="s">
        <v>246</v>
      </c>
      <c r="AD41" s="131"/>
      <c r="AE41" s="132"/>
      <c r="AF41" s="135" t="s">
        <v>13</v>
      </c>
      <c r="AG41" s="131"/>
      <c r="AH41" s="132"/>
      <c r="AI41" s="33" t="s">
        <v>244</v>
      </c>
      <c r="AJ41" s="34"/>
      <c r="AK41" s="35" t="s">
        <v>247</v>
      </c>
      <c r="AL41" s="36"/>
      <c r="AM41" s="22" t="s">
        <v>248</v>
      </c>
      <c r="AN41" s="3" t="s">
        <v>249</v>
      </c>
      <c r="AO41" s="22" t="s">
        <v>250</v>
      </c>
    </row>
    <row r="42" spans="1:41" x14ac:dyDescent="0.35">
      <c r="A42" s="37">
        <v>1</v>
      </c>
      <c r="B42" s="37" t="s">
        <v>4</v>
      </c>
      <c r="C42" s="37" t="s">
        <v>5</v>
      </c>
      <c r="D42" s="38"/>
      <c r="E42" s="38"/>
      <c r="F42" s="38"/>
      <c r="G42" s="38"/>
      <c r="H42" s="38"/>
      <c r="I42" s="38"/>
      <c r="J42" s="39"/>
      <c r="K42" s="62">
        <v>113.62</v>
      </c>
      <c r="L42" s="64"/>
      <c r="M42" s="62">
        <v>30.42</v>
      </c>
      <c r="N42" s="64"/>
      <c r="O42" s="62">
        <f t="shared" ref="O42:O73" si="0">(K42-M42)*0.2</f>
        <v>16.64</v>
      </c>
      <c r="P42" s="64"/>
      <c r="Q42" s="145">
        <v>6.3840000000000003</v>
      </c>
      <c r="R42" s="145"/>
      <c r="S42" s="145"/>
      <c r="T42" s="145">
        <f>1.53+0</f>
        <v>1.53</v>
      </c>
      <c r="U42" s="145"/>
      <c r="V42" s="145"/>
      <c r="W42" s="145">
        <f>0.086*(AI42/2.6)</f>
        <v>5.9538461538461531</v>
      </c>
      <c r="X42" s="145"/>
      <c r="Y42" s="145"/>
      <c r="Z42" s="145">
        <v>30.04</v>
      </c>
      <c r="AA42" s="145"/>
      <c r="AB42" s="145"/>
      <c r="AC42" s="145">
        <v>59</v>
      </c>
      <c r="AD42" s="145"/>
      <c r="AE42" s="145"/>
      <c r="AF42" s="145">
        <v>1.4000000000000001</v>
      </c>
      <c r="AG42" s="145"/>
      <c r="AH42" s="145"/>
      <c r="AI42" s="145">
        <v>180</v>
      </c>
      <c r="AJ42" s="145"/>
      <c r="AK42" s="145">
        <f t="shared" ref="AK42:AK73" si="1">Q42+T42+W42</f>
        <v>13.867846153846154</v>
      </c>
      <c r="AL42" s="145"/>
      <c r="AM42" s="22">
        <v>1</v>
      </c>
      <c r="AN42" s="40">
        <v>3.85</v>
      </c>
      <c r="AO42" s="22">
        <v>1</v>
      </c>
    </row>
    <row r="43" spans="1:41" x14ac:dyDescent="0.35">
      <c r="A43" s="37">
        <v>2</v>
      </c>
      <c r="B43" s="37" t="s">
        <v>4</v>
      </c>
      <c r="C43" s="37" t="s">
        <v>6</v>
      </c>
      <c r="D43" s="38"/>
      <c r="E43" s="38"/>
      <c r="F43" s="38"/>
      <c r="G43" s="38"/>
      <c r="H43" s="38"/>
      <c r="I43" s="38"/>
      <c r="J43" s="39"/>
      <c r="K43" s="62">
        <v>113.62</v>
      </c>
      <c r="L43" s="64"/>
      <c r="M43" s="62">
        <v>40.42</v>
      </c>
      <c r="N43" s="64"/>
      <c r="O43" s="62">
        <f t="shared" si="0"/>
        <v>14.64</v>
      </c>
      <c r="P43" s="64"/>
      <c r="Q43" s="138">
        <v>6.3840000000000003</v>
      </c>
      <c r="R43" s="138"/>
      <c r="S43" s="138"/>
      <c r="T43" s="138">
        <f>1.53+1.921</f>
        <v>3.4510000000000001</v>
      </c>
      <c r="U43" s="138"/>
      <c r="V43" s="138"/>
      <c r="W43" s="153">
        <f>9.81-1.921</f>
        <v>7.8890000000000002</v>
      </c>
      <c r="X43" s="153"/>
      <c r="Y43" s="153"/>
      <c r="Z43" s="138">
        <v>25.86</v>
      </c>
      <c r="AA43" s="138"/>
      <c r="AB43" s="138"/>
      <c r="AC43" s="138">
        <v>59</v>
      </c>
      <c r="AD43" s="138"/>
      <c r="AE43" s="138"/>
      <c r="AF43" s="138">
        <v>1.4000000000000001</v>
      </c>
      <c r="AG43" s="138"/>
      <c r="AH43" s="138"/>
      <c r="AI43" s="138">
        <v>180</v>
      </c>
      <c r="AJ43" s="138"/>
      <c r="AK43" s="138">
        <f t="shared" si="1"/>
        <v>17.724</v>
      </c>
      <c r="AL43" s="138"/>
      <c r="AM43" s="22">
        <v>2</v>
      </c>
      <c r="AN43" s="40">
        <v>3.85</v>
      </c>
      <c r="AO43" s="22">
        <v>1</v>
      </c>
    </row>
    <row r="44" spans="1:41" x14ac:dyDescent="0.35">
      <c r="A44" s="37">
        <v>3</v>
      </c>
      <c r="B44" s="37" t="s">
        <v>4</v>
      </c>
      <c r="C44" s="37" t="s">
        <v>9</v>
      </c>
      <c r="D44" s="38"/>
      <c r="E44" s="38"/>
      <c r="F44" s="38"/>
      <c r="G44" s="38"/>
      <c r="H44" s="38"/>
      <c r="I44" s="38"/>
      <c r="J44" s="39"/>
      <c r="K44" s="62">
        <v>123.23</v>
      </c>
      <c r="L44" s="64">
        <v>3</v>
      </c>
      <c r="M44" s="62">
        <v>33.21</v>
      </c>
      <c r="N44" s="64">
        <v>3</v>
      </c>
      <c r="O44" s="62">
        <f t="shared" si="0"/>
        <v>18.004000000000001</v>
      </c>
      <c r="P44" s="64"/>
      <c r="Q44" s="138">
        <v>5.843</v>
      </c>
      <c r="R44" s="138"/>
      <c r="S44" s="138"/>
      <c r="T44" s="138">
        <f>1.586+0</f>
        <v>1.5860000000000001</v>
      </c>
      <c r="U44" s="138"/>
      <c r="V44" s="138"/>
      <c r="W44" s="145">
        <f>0.086*(AI44/2.6)</f>
        <v>6.1853846153846144</v>
      </c>
      <c r="X44" s="145"/>
      <c r="Y44" s="145"/>
      <c r="Z44" s="138">
        <v>27.14</v>
      </c>
      <c r="AA44" s="138"/>
      <c r="AB44" s="138"/>
      <c r="AC44" s="138">
        <v>59</v>
      </c>
      <c r="AD44" s="138"/>
      <c r="AE44" s="138"/>
      <c r="AF44" s="138">
        <v>7.0650000000000004</v>
      </c>
      <c r="AG44" s="138"/>
      <c r="AH44" s="138"/>
      <c r="AI44" s="138">
        <v>187</v>
      </c>
      <c r="AJ44" s="138"/>
      <c r="AK44" s="138">
        <f t="shared" si="1"/>
        <v>13.614384615384616</v>
      </c>
      <c r="AL44" s="138"/>
      <c r="AM44" s="22">
        <v>1</v>
      </c>
      <c r="AN44" s="3">
        <v>3.85</v>
      </c>
      <c r="AO44" s="22">
        <v>2</v>
      </c>
    </row>
    <row r="45" spans="1:41" x14ac:dyDescent="0.35">
      <c r="A45" s="37">
        <v>4</v>
      </c>
      <c r="B45" s="37" t="s">
        <v>4</v>
      </c>
      <c r="C45" s="37" t="s">
        <v>11</v>
      </c>
      <c r="D45" s="38"/>
      <c r="E45" s="38"/>
      <c r="F45" s="38"/>
      <c r="G45" s="38"/>
      <c r="H45" s="38"/>
      <c r="I45" s="38"/>
      <c r="J45" s="39"/>
      <c r="K45" s="62">
        <v>123.23</v>
      </c>
      <c r="L45" s="64">
        <v>4</v>
      </c>
      <c r="M45" s="62">
        <v>33.21</v>
      </c>
      <c r="N45" s="64">
        <v>4</v>
      </c>
      <c r="O45" s="62">
        <f t="shared" si="0"/>
        <v>18.004000000000001</v>
      </c>
      <c r="P45" s="64"/>
      <c r="Q45" s="138">
        <v>5.843</v>
      </c>
      <c r="R45" s="138"/>
      <c r="S45" s="138"/>
      <c r="T45" s="138">
        <f>1.586+2.024</f>
        <v>3.6100000000000003</v>
      </c>
      <c r="U45" s="138"/>
      <c r="V45" s="138"/>
      <c r="W45" s="153">
        <f>35.93-2.024</f>
        <v>33.905999999999999</v>
      </c>
      <c r="X45" s="153"/>
      <c r="Y45" s="153"/>
      <c r="Z45" s="138">
        <v>27.14</v>
      </c>
      <c r="AA45" s="138"/>
      <c r="AB45" s="138"/>
      <c r="AC45" s="138">
        <v>53</v>
      </c>
      <c r="AD45" s="138"/>
      <c r="AE45" s="138"/>
      <c r="AF45" s="138">
        <v>7.0650000000000004</v>
      </c>
      <c r="AG45" s="138"/>
      <c r="AH45" s="138"/>
      <c r="AI45" s="138">
        <v>187</v>
      </c>
      <c r="AJ45" s="138"/>
      <c r="AK45" s="138">
        <f t="shared" si="1"/>
        <v>43.358999999999995</v>
      </c>
      <c r="AL45" s="138"/>
      <c r="AM45" s="22">
        <v>3</v>
      </c>
      <c r="AN45" s="3">
        <v>3.85</v>
      </c>
      <c r="AO45" s="22">
        <v>2</v>
      </c>
    </row>
    <row r="46" spans="1:41" x14ac:dyDescent="0.35">
      <c r="A46" s="37">
        <v>5</v>
      </c>
      <c r="B46" s="37" t="s">
        <v>4</v>
      </c>
      <c r="C46" s="37" t="s">
        <v>14</v>
      </c>
      <c r="D46" s="38"/>
      <c r="E46" s="38"/>
      <c r="F46" s="38"/>
      <c r="G46" s="38"/>
      <c r="H46" s="38"/>
      <c r="I46" s="38"/>
      <c r="J46" s="39"/>
      <c r="K46" s="62">
        <v>123.23</v>
      </c>
      <c r="L46" s="64">
        <v>5</v>
      </c>
      <c r="M46" s="62">
        <v>33.21</v>
      </c>
      <c r="N46" s="64">
        <v>5</v>
      </c>
      <c r="O46" s="62">
        <f t="shared" si="0"/>
        <v>18.004000000000001</v>
      </c>
      <c r="P46" s="64"/>
      <c r="Q46" s="138">
        <v>5.843</v>
      </c>
      <c r="R46" s="138"/>
      <c r="S46" s="138"/>
      <c r="T46" s="138">
        <f>1.586+2.024</f>
        <v>3.6100000000000003</v>
      </c>
      <c r="U46" s="138"/>
      <c r="V46" s="138"/>
      <c r="W46" s="153">
        <f>10.42-2.024</f>
        <v>8.3960000000000008</v>
      </c>
      <c r="X46" s="153"/>
      <c r="Y46" s="153"/>
      <c r="Z46" s="138">
        <v>27.14</v>
      </c>
      <c r="AA46" s="138"/>
      <c r="AB46" s="138"/>
      <c r="AC46" s="138">
        <v>53</v>
      </c>
      <c r="AD46" s="138"/>
      <c r="AE46" s="138"/>
      <c r="AF46" s="138">
        <v>7.0650000000000004</v>
      </c>
      <c r="AG46" s="138"/>
      <c r="AH46" s="138"/>
      <c r="AI46" s="138">
        <v>187</v>
      </c>
      <c r="AJ46" s="138"/>
      <c r="AK46" s="138">
        <f t="shared" si="1"/>
        <v>17.849</v>
      </c>
      <c r="AL46" s="138"/>
      <c r="AM46" s="22">
        <v>2</v>
      </c>
      <c r="AN46" s="3">
        <v>3.85</v>
      </c>
      <c r="AO46" s="22">
        <v>2</v>
      </c>
    </row>
    <row r="47" spans="1:41" x14ac:dyDescent="0.35">
      <c r="A47" s="37">
        <v>6</v>
      </c>
      <c r="B47" s="37" t="s">
        <v>18</v>
      </c>
      <c r="C47" s="37" t="s">
        <v>19</v>
      </c>
      <c r="D47" s="38"/>
      <c r="E47" s="38"/>
      <c r="F47" s="38"/>
      <c r="G47" s="38"/>
      <c r="H47" s="38"/>
      <c r="I47" s="38"/>
      <c r="J47" s="39"/>
      <c r="K47" s="62">
        <v>78.930000000000007</v>
      </c>
      <c r="L47" s="64">
        <v>6</v>
      </c>
      <c r="M47" s="62">
        <v>6.58</v>
      </c>
      <c r="N47" s="64">
        <v>6</v>
      </c>
      <c r="O47" s="62">
        <f t="shared" si="0"/>
        <v>14.470000000000002</v>
      </c>
      <c r="P47" s="64"/>
      <c r="Q47" s="138">
        <v>4.6689999999999996</v>
      </c>
      <c r="R47" s="138"/>
      <c r="S47" s="138"/>
      <c r="T47" s="138">
        <f>1.3608+0</f>
        <v>1.3608</v>
      </c>
      <c r="U47" s="138"/>
      <c r="V47" s="138"/>
      <c r="W47" s="145">
        <f>0.086*(AI47/2.6)</f>
        <v>4.6638461538461531</v>
      </c>
      <c r="X47" s="145"/>
      <c r="Y47" s="145"/>
      <c r="Z47" s="138">
        <v>22.05</v>
      </c>
      <c r="AA47" s="138"/>
      <c r="AB47" s="138"/>
      <c r="AC47" s="138">
        <v>43</v>
      </c>
      <c r="AD47" s="138"/>
      <c r="AE47" s="138"/>
      <c r="AF47" s="138">
        <v>1.4000000000000001</v>
      </c>
      <c r="AG47" s="138"/>
      <c r="AH47" s="138"/>
      <c r="AI47" s="138">
        <v>141</v>
      </c>
      <c r="AJ47" s="138"/>
      <c r="AK47" s="138">
        <f t="shared" si="1"/>
        <v>10.693646153846153</v>
      </c>
      <c r="AL47" s="138"/>
      <c r="AM47" s="22">
        <v>1</v>
      </c>
      <c r="AN47" s="3">
        <v>4.0999999999999996</v>
      </c>
      <c r="AO47" s="22">
        <v>3</v>
      </c>
    </row>
    <row r="48" spans="1:41" x14ac:dyDescent="0.35">
      <c r="A48" s="37">
        <v>7</v>
      </c>
      <c r="B48" s="37" t="s">
        <v>18</v>
      </c>
      <c r="C48" s="37" t="s">
        <v>21</v>
      </c>
      <c r="D48" s="38"/>
      <c r="E48" s="38"/>
      <c r="F48" s="38"/>
      <c r="G48" s="38"/>
      <c r="H48" s="38"/>
      <c r="I48" s="38"/>
      <c r="J48" s="39"/>
      <c r="K48" s="62">
        <v>78.930000000000007</v>
      </c>
      <c r="L48" s="64">
        <v>7</v>
      </c>
      <c r="M48" s="62">
        <v>6.58</v>
      </c>
      <c r="N48" s="64">
        <v>7</v>
      </c>
      <c r="O48" s="62">
        <f t="shared" si="0"/>
        <v>14.470000000000002</v>
      </c>
      <c r="P48" s="64"/>
      <c r="Q48" s="138">
        <v>4.6689999999999996</v>
      </c>
      <c r="R48" s="138"/>
      <c r="S48" s="138"/>
      <c r="T48" s="138">
        <f>1.3608+1.554</f>
        <v>2.9148000000000001</v>
      </c>
      <c r="U48" s="138"/>
      <c r="V48" s="138"/>
      <c r="W48" s="138">
        <f>7.5-1.554</f>
        <v>5.9459999999999997</v>
      </c>
      <c r="X48" s="138"/>
      <c r="Y48" s="138"/>
      <c r="Z48" s="138">
        <v>22.05</v>
      </c>
      <c r="AA48" s="138"/>
      <c r="AB48" s="138"/>
      <c r="AC48" s="138">
        <v>43</v>
      </c>
      <c r="AD48" s="138"/>
      <c r="AE48" s="138"/>
      <c r="AF48" s="138">
        <v>1.4000000000000001</v>
      </c>
      <c r="AG48" s="138"/>
      <c r="AH48" s="138"/>
      <c r="AI48" s="138">
        <v>141</v>
      </c>
      <c r="AJ48" s="138"/>
      <c r="AK48" s="138">
        <f t="shared" si="1"/>
        <v>13.5298</v>
      </c>
      <c r="AL48" s="138"/>
      <c r="AM48" s="22">
        <v>2</v>
      </c>
      <c r="AN48" s="3">
        <v>4.0999999999999996</v>
      </c>
      <c r="AO48" s="22">
        <v>3</v>
      </c>
    </row>
    <row r="49" spans="1:41" x14ac:dyDescent="0.35">
      <c r="A49" s="37">
        <v>8</v>
      </c>
      <c r="B49" s="37" t="s">
        <v>4</v>
      </c>
      <c r="C49" s="37" t="s">
        <v>23</v>
      </c>
      <c r="D49" s="38"/>
      <c r="E49" s="38"/>
      <c r="F49" s="38"/>
      <c r="G49" s="38"/>
      <c r="H49" s="38"/>
      <c r="I49" s="38"/>
      <c r="J49" s="39"/>
      <c r="K49" s="62">
        <v>137.25</v>
      </c>
      <c r="L49" s="64">
        <v>8</v>
      </c>
      <c r="M49" s="62">
        <v>33.21</v>
      </c>
      <c r="N49" s="64">
        <v>5</v>
      </c>
      <c r="O49" s="62">
        <f t="shared" si="0"/>
        <v>20.808</v>
      </c>
      <c r="P49" s="64"/>
      <c r="Q49" s="138">
        <v>8.69</v>
      </c>
      <c r="R49" s="138"/>
      <c r="S49" s="138"/>
      <c r="T49" s="138">
        <f>0.42+3.04</f>
        <v>3.46</v>
      </c>
      <c r="U49" s="138"/>
      <c r="V49" s="138"/>
      <c r="W49" s="138">
        <f>41.33-3.04</f>
        <v>38.29</v>
      </c>
      <c r="X49" s="138"/>
      <c r="Y49" s="138"/>
      <c r="Z49" s="138">
        <v>33.230000000000004</v>
      </c>
      <c r="AA49" s="138"/>
      <c r="AB49" s="138"/>
      <c r="AC49" s="138">
        <v>65</v>
      </c>
      <c r="AD49" s="138"/>
      <c r="AE49" s="138"/>
      <c r="AF49" s="138">
        <v>6.4109999999999996</v>
      </c>
      <c r="AG49" s="138"/>
      <c r="AH49" s="138"/>
      <c r="AI49" s="138">
        <v>220</v>
      </c>
      <c r="AJ49" s="138"/>
      <c r="AK49" s="138">
        <f t="shared" si="1"/>
        <v>50.44</v>
      </c>
      <c r="AL49" s="138"/>
      <c r="AM49" s="22">
        <v>3</v>
      </c>
      <c r="AN49" s="3">
        <v>3.85</v>
      </c>
      <c r="AO49" s="22">
        <v>4</v>
      </c>
    </row>
    <row r="50" spans="1:41" x14ac:dyDescent="0.35">
      <c r="A50" s="37">
        <v>9</v>
      </c>
      <c r="B50" s="37" t="s">
        <v>4</v>
      </c>
      <c r="C50" s="37" t="s">
        <v>24</v>
      </c>
      <c r="D50" s="38"/>
      <c r="E50" s="38"/>
      <c r="F50" s="38"/>
      <c r="G50" s="38"/>
      <c r="H50" s="38"/>
      <c r="I50" s="38"/>
      <c r="J50" s="39"/>
      <c r="K50" s="62">
        <v>137.25</v>
      </c>
      <c r="L50" s="64">
        <v>9</v>
      </c>
      <c r="M50" s="62">
        <v>33.21</v>
      </c>
      <c r="N50" s="64">
        <v>5</v>
      </c>
      <c r="O50" s="62">
        <f t="shared" si="0"/>
        <v>20.808</v>
      </c>
      <c r="P50" s="64"/>
      <c r="Q50" s="138">
        <v>8.69</v>
      </c>
      <c r="R50" s="138"/>
      <c r="S50" s="138"/>
      <c r="T50" s="138">
        <f>0.42+2.64</f>
        <v>3.06</v>
      </c>
      <c r="U50" s="138"/>
      <c r="V50" s="138"/>
      <c r="W50" s="138">
        <f>11.99-2.64</f>
        <v>9.35</v>
      </c>
      <c r="X50" s="138"/>
      <c r="Y50" s="138"/>
      <c r="Z50" s="138">
        <v>33.230000000000004</v>
      </c>
      <c r="AA50" s="138"/>
      <c r="AB50" s="138"/>
      <c r="AC50" s="138">
        <v>65</v>
      </c>
      <c r="AD50" s="138"/>
      <c r="AE50" s="138"/>
      <c r="AF50" s="138">
        <v>6.4109999999999996</v>
      </c>
      <c r="AG50" s="138"/>
      <c r="AH50" s="138"/>
      <c r="AI50" s="138">
        <v>220</v>
      </c>
      <c r="AJ50" s="138"/>
      <c r="AK50" s="138">
        <f t="shared" si="1"/>
        <v>21.1</v>
      </c>
      <c r="AL50" s="138"/>
      <c r="AM50" s="22">
        <v>2</v>
      </c>
      <c r="AN50" s="3">
        <v>3.85</v>
      </c>
      <c r="AO50" s="22">
        <v>4</v>
      </c>
    </row>
    <row r="51" spans="1:41" x14ac:dyDescent="0.35">
      <c r="A51" s="37">
        <v>10</v>
      </c>
      <c r="B51" s="37" t="s">
        <v>4</v>
      </c>
      <c r="C51" s="37" t="s">
        <v>26</v>
      </c>
      <c r="D51" s="38"/>
      <c r="E51" s="38"/>
      <c r="F51" s="38"/>
      <c r="G51" s="38"/>
      <c r="H51" s="38"/>
      <c r="I51" s="38"/>
      <c r="J51" s="39"/>
      <c r="K51" s="62">
        <v>164.94</v>
      </c>
      <c r="L51" s="64">
        <v>10</v>
      </c>
      <c r="M51" s="62">
        <v>55.1</v>
      </c>
      <c r="N51" s="64">
        <v>10</v>
      </c>
      <c r="O51" s="62">
        <f t="shared" si="0"/>
        <v>21.968000000000004</v>
      </c>
      <c r="P51" s="64"/>
      <c r="Q51" s="138">
        <v>7.6029999999999998</v>
      </c>
      <c r="R51" s="138"/>
      <c r="S51" s="138"/>
      <c r="T51" s="138">
        <f>1.941+2.728</f>
        <v>4.6690000000000005</v>
      </c>
      <c r="U51" s="138"/>
      <c r="V51" s="138"/>
      <c r="W51" s="138">
        <f>50.15-2.728</f>
        <v>47.421999999999997</v>
      </c>
      <c r="X51" s="138"/>
      <c r="Y51" s="138"/>
      <c r="Z51" s="138">
        <v>35.238</v>
      </c>
      <c r="AA51" s="138"/>
      <c r="AB51" s="138"/>
      <c r="AC51" s="138">
        <v>69</v>
      </c>
      <c r="AD51" s="138"/>
      <c r="AE51" s="138"/>
      <c r="AF51" s="138">
        <v>11.723000000000001</v>
      </c>
      <c r="AG51" s="138"/>
      <c r="AH51" s="138"/>
      <c r="AI51" s="138">
        <v>263</v>
      </c>
      <c r="AJ51" s="138"/>
      <c r="AK51" s="138">
        <f t="shared" si="1"/>
        <v>59.693999999999996</v>
      </c>
      <c r="AL51" s="138"/>
      <c r="AM51" s="22">
        <v>3</v>
      </c>
      <c r="AN51" s="3">
        <v>3.75</v>
      </c>
      <c r="AO51" s="22">
        <v>5</v>
      </c>
    </row>
    <row r="52" spans="1:41" x14ac:dyDescent="0.35">
      <c r="A52" s="37">
        <v>11</v>
      </c>
      <c r="B52" s="37" t="s">
        <v>4</v>
      </c>
      <c r="C52" s="37" t="s">
        <v>30</v>
      </c>
      <c r="D52" s="38"/>
      <c r="E52" s="38"/>
      <c r="F52" s="38"/>
      <c r="G52" s="38"/>
      <c r="H52" s="38"/>
      <c r="I52" s="38"/>
      <c r="J52" s="39"/>
      <c r="K52" s="62">
        <v>164.94</v>
      </c>
      <c r="L52" s="64">
        <v>11</v>
      </c>
      <c r="M52" s="62">
        <v>55.1</v>
      </c>
      <c r="N52" s="64">
        <v>11</v>
      </c>
      <c r="O52" s="62">
        <f t="shared" si="0"/>
        <v>21.968000000000004</v>
      </c>
      <c r="P52" s="64"/>
      <c r="Q52" s="138">
        <v>7.6029999999999998</v>
      </c>
      <c r="R52" s="138"/>
      <c r="S52" s="138"/>
      <c r="T52" s="138">
        <f>1.941+2.728</f>
        <v>4.6690000000000005</v>
      </c>
      <c r="U52" s="138"/>
      <c r="V52" s="138"/>
      <c r="W52" s="138">
        <f>14.43-2.728</f>
        <v>11.702</v>
      </c>
      <c r="X52" s="138"/>
      <c r="Y52" s="138"/>
      <c r="Z52" s="138">
        <v>35.238</v>
      </c>
      <c r="AA52" s="138"/>
      <c r="AB52" s="138"/>
      <c r="AC52" s="138">
        <v>69</v>
      </c>
      <c r="AD52" s="138"/>
      <c r="AE52" s="138"/>
      <c r="AF52" s="138">
        <v>11.723000000000001</v>
      </c>
      <c r="AG52" s="138"/>
      <c r="AH52" s="138"/>
      <c r="AI52" s="138">
        <v>263</v>
      </c>
      <c r="AJ52" s="138"/>
      <c r="AK52" s="138">
        <f t="shared" si="1"/>
        <v>23.974</v>
      </c>
      <c r="AL52" s="138"/>
      <c r="AM52" s="22">
        <v>2</v>
      </c>
      <c r="AN52" s="3">
        <v>3.75</v>
      </c>
      <c r="AO52" s="22">
        <v>5</v>
      </c>
    </row>
    <row r="53" spans="1:41" x14ac:dyDescent="0.35">
      <c r="A53" s="37">
        <v>12</v>
      </c>
      <c r="B53" s="37" t="s">
        <v>4</v>
      </c>
      <c r="C53" s="37" t="s">
        <v>36</v>
      </c>
      <c r="D53" s="38"/>
      <c r="E53" s="38"/>
      <c r="F53" s="38"/>
      <c r="G53" s="38"/>
      <c r="H53" s="38"/>
      <c r="I53" s="38"/>
      <c r="J53" s="39"/>
      <c r="K53" s="62">
        <v>166.54</v>
      </c>
      <c r="L53" s="64">
        <v>12</v>
      </c>
      <c r="M53" s="62">
        <v>39.46</v>
      </c>
      <c r="N53" s="64">
        <v>12</v>
      </c>
      <c r="O53" s="62">
        <f t="shared" si="0"/>
        <v>25.415999999999997</v>
      </c>
      <c r="P53" s="64"/>
      <c r="Q53" s="138">
        <v>8.7439999999999998</v>
      </c>
      <c r="R53" s="138"/>
      <c r="S53" s="138"/>
      <c r="T53" s="138">
        <f>2.0597+2.9367</f>
        <v>4.9963999999999995</v>
      </c>
      <c r="U53" s="138"/>
      <c r="V53" s="138"/>
      <c r="W53" s="138">
        <f>53.14-2.9367</f>
        <v>50.203299999999999</v>
      </c>
      <c r="X53" s="138"/>
      <c r="Y53" s="138"/>
      <c r="Z53" s="138">
        <v>41.594000000000001</v>
      </c>
      <c r="AA53" s="138"/>
      <c r="AB53" s="138"/>
      <c r="AC53" s="138">
        <v>81</v>
      </c>
      <c r="AD53" s="138"/>
      <c r="AE53" s="138"/>
      <c r="AF53" s="138">
        <v>8.3949999999999996</v>
      </c>
      <c r="AG53" s="138"/>
      <c r="AH53" s="138"/>
      <c r="AI53" s="138">
        <v>278</v>
      </c>
      <c r="AJ53" s="138"/>
      <c r="AK53" s="138">
        <f t="shared" si="1"/>
        <v>63.9437</v>
      </c>
      <c r="AL53" s="138"/>
      <c r="AM53" s="22">
        <v>3</v>
      </c>
      <c r="AN53" s="3">
        <v>4</v>
      </c>
      <c r="AO53" s="22">
        <v>6</v>
      </c>
    </row>
    <row r="54" spans="1:41" x14ac:dyDescent="0.35">
      <c r="A54" s="37">
        <v>13</v>
      </c>
      <c r="B54" s="37" t="s">
        <v>4</v>
      </c>
      <c r="C54" s="37" t="s">
        <v>42</v>
      </c>
      <c r="D54" s="38"/>
      <c r="E54" s="38"/>
      <c r="F54" s="38"/>
      <c r="G54" s="38"/>
      <c r="H54" s="38"/>
      <c r="I54" s="38"/>
      <c r="J54" s="39"/>
      <c r="K54" s="62">
        <v>188.82</v>
      </c>
      <c r="L54" s="64">
        <v>13</v>
      </c>
      <c r="M54" s="62">
        <v>55.1</v>
      </c>
      <c r="N54" s="64">
        <v>13</v>
      </c>
      <c r="O54" s="62">
        <f t="shared" si="0"/>
        <v>26.744</v>
      </c>
      <c r="P54" s="64"/>
      <c r="Q54" s="138">
        <v>8.9280000000000008</v>
      </c>
      <c r="R54" s="138"/>
      <c r="S54" s="138"/>
      <c r="T54" s="138">
        <f>2.189+3.387</f>
        <v>5.5760000000000005</v>
      </c>
      <c r="U54" s="138"/>
      <c r="V54" s="138"/>
      <c r="W54" s="138">
        <f>50.15-3.387</f>
        <v>46.762999999999998</v>
      </c>
      <c r="X54" s="138"/>
      <c r="Y54" s="138"/>
      <c r="Z54" s="138">
        <v>42.371000000000002</v>
      </c>
      <c r="AA54" s="138"/>
      <c r="AB54" s="138"/>
      <c r="AC54" s="138">
        <v>83</v>
      </c>
      <c r="AD54" s="138"/>
      <c r="AE54" s="138"/>
      <c r="AF54" s="138">
        <v>11.72</v>
      </c>
      <c r="AG54" s="138"/>
      <c r="AH54" s="138"/>
      <c r="AI54" s="138">
        <v>292</v>
      </c>
      <c r="AJ54" s="138"/>
      <c r="AK54" s="138">
        <f t="shared" si="1"/>
        <v>61.266999999999996</v>
      </c>
      <c r="AL54" s="138"/>
      <c r="AM54" s="22">
        <v>3</v>
      </c>
      <c r="AN54" s="3">
        <v>4</v>
      </c>
      <c r="AO54" s="22">
        <v>7</v>
      </c>
    </row>
    <row r="55" spans="1:41" x14ac:dyDescent="0.35">
      <c r="A55" s="37">
        <v>14</v>
      </c>
      <c r="B55" s="37" t="s">
        <v>4</v>
      </c>
      <c r="C55" s="37" t="s">
        <v>47</v>
      </c>
      <c r="D55" s="38"/>
      <c r="E55" s="38"/>
      <c r="F55" s="38"/>
      <c r="G55" s="38"/>
      <c r="H55" s="38"/>
      <c r="I55" s="38"/>
      <c r="J55" s="39"/>
      <c r="K55" s="62">
        <v>166.54</v>
      </c>
      <c r="L55" s="64">
        <v>14</v>
      </c>
      <c r="M55" s="62">
        <v>39.46</v>
      </c>
      <c r="N55" s="64">
        <v>12</v>
      </c>
      <c r="O55" s="62">
        <f t="shared" si="0"/>
        <v>25.415999999999997</v>
      </c>
      <c r="P55" s="64"/>
      <c r="Q55" s="138">
        <v>8.7439999999999998</v>
      </c>
      <c r="R55" s="138"/>
      <c r="S55" s="138"/>
      <c r="T55" s="138">
        <f>2.0597+2.9367</f>
        <v>4.9963999999999995</v>
      </c>
      <c r="U55" s="138"/>
      <c r="V55" s="138"/>
      <c r="W55" s="138">
        <f>15.67-3.51</f>
        <v>12.16</v>
      </c>
      <c r="X55" s="138"/>
      <c r="Y55" s="138"/>
      <c r="Z55" s="138">
        <v>41.59</v>
      </c>
      <c r="AA55" s="138"/>
      <c r="AB55" s="138"/>
      <c r="AC55" s="138">
        <v>81</v>
      </c>
      <c r="AD55" s="138"/>
      <c r="AE55" s="138"/>
      <c r="AF55" s="138">
        <v>8.3949999999999996</v>
      </c>
      <c r="AG55" s="138"/>
      <c r="AH55" s="138"/>
      <c r="AI55" s="138">
        <v>278</v>
      </c>
      <c r="AJ55" s="138"/>
      <c r="AK55" s="138">
        <f t="shared" si="1"/>
        <v>25.900399999999998</v>
      </c>
      <c r="AL55" s="138"/>
      <c r="AM55" s="22">
        <v>2</v>
      </c>
      <c r="AN55" s="3">
        <v>4</v>
      </c>
      <c r="AO55" s="22">
        <v>6</v>
      </c>
    </row>
    <row r="56" spans="1:41" x14ac:dyDescent="0.35">
      <c r="A56" s="37">
        <v>15</v>
      </c>
      <c r="B56" s="37" t="s">
        <v>4</v>
      </c>
      <c r="C56" s="37" t="s">
        <v>48</v>
      </c>
      <c r="D56" s="38"/>
      <c r="E56" s="38"/>
      <c r="F56" s="38"/>
      <c r="G56" s="38"/>
      <c r="H56" s="38"/>
      <c r="I56" s="38"/>
      <c r="J56" s="39"/>
      <c r="K56" s="62">
        <v>188.82</v>
      </c>
      <c r="L56" s="64">
        <v>15</v>
      </c>
      <c r="M56" s="62">
        <v>55.1</v>
      </c>
      <c r="N56" s="64">
        <v>15</v>
      </c>
      <c r="O56" s="62">
        <f t="shared" si="0"/>
        <v>26.744</v>
      </c>
      <c r="P56" s="64"/>
      <c r="Q56" s="138">
        <v>8.9280000000000008</v>
      </c>
      <c r="R56" s="138"/>
      <c r="S56" s="138"/>
      <c r="T56" s="138">
        <f>2.189+3.387</f>
        <v>5.5760000000000005</v>
      </c>
      <c r="U56" s="138"/>
      <c r="V56" s="138"/>
      <c r="W56" s="138">
        <f>14.43-3.387</f>
        <v>11.042999999999999</v>
      </c>
      <c r="X56" s="138"/>
      <c r="Y56" s="138"/>
      <c r="Z56" s="138">
        <v>42.371000000000002</v>
      </c>
      <c r="AA56" s="138"/>
      <c r="AB56" s="138"/>
      <c r="AC56" s="138">
        <v>83</v>
      </c>
      <c r="AD56" s="138"/>
      <c r="AE56" s="138"/>
      <c r="AF56" s="138">
        <v>11.72</v>
      </c>
      <c r="AG56" s="138"/>
      <c r="AH56" s="138"/>
      <c r="AI56" s="138">
        <v>292</v>
      </c>
      <c r="AJ56" s="138"/>
      <c r="AK56" s="138">
        <f t="shared" si="1"/>
        <v>25.547000000000001</v>
      </c>
      <c r="AL56" s="138"/>
      <c r="AM56" s="22">
        <v>2</v>
      </c>
      <c r="AN56" s="3">
        <v>4</v>
      </c>
      <c r="AO56" s="22">
        <v>7</v>
      </c>
    </row>
    <row r="57" spans="1:41" x14ac:dyDescent="0.35">
      <c r="A57" s="37">
        <v>16</v>
      </c>
      <c r="B57" s="37" t="s">
        <v>4</v>
      </c>
      <c r="C57" s="37" t="s">
        <v>55</v>
      </c>
      <c r="D57" s="38"/>
      <c r="E57" s="38"/>
      <c r="F57" s="38"/>
      <c r="G57" s="38"/>
      <c r="H57" s="38"/>
      <c r="I57" s="38"/>
      <c r="J57" s="39"/>
      <c r="K57" s="62">
        <v>224.45000000000002</v>
      </c>
      <c r="L57" s="64"/>
      <c r="M57" s="62">
        <v>59.92</v>
      </c>
      <c r="N57" s="64">
        <v>16</v>
      </c>
      <c r="O57" s="62">
        <f t="shared" si="0"/>
        <v>32.906000000000006</v>
      </c>
      <c r="P57" s="64"/>
      <c r="Q57" s="138">
        <v>11.332000000000001</v>
      </c>
      <c r="R57" s="138"/>
      <c r="S57" s="138"/>
      <c r="T57" s="138">
        <f>2.331+3.853</f>
        <v>6.1840000000000002</v>
      </c>
      <c r="U57" s="138"/>
      <c r="V57" s="138"/>
      <c r="W57" s="138">
        <f>63.71-3.853</f>
        <v>59.856999999999999</v>
      </c>
      <c r="X57" s="138"/>
      <c r="Y57" s="138"/>
      <c r="Z57" s="138">
        <v>54.216000000000001</v>
      </c>
      <c r="AA57" s="138"/>
      <c r="AB57" s="138"/>
      <c r="AC57" s="138">
        <v>106</v>
      </c>
      <c r="AD57" s="138"/>
      <c r="AE57" s="138"/>
      <c r="AF57" s="138">
        <v>11.723000000000001</v>
      </c>
      <c r="AG57" s="138"/>
      <c r="AH57" s="138"/>
      <c r="AI57" s="138">
        <v>329</v>
      </c>
      <c r="AJ57" s="138"/>
      <c r="AK57" s="138">
        <f t="shared" si="1"/>
        <v>77.373000000000005</v>
      </c>
      <c r="AL57" s="138"/>
      <c r="AM57" s="22">
        <v>3</v>
      </c>
      <c r="AN57" s="3">
        <v>3.9</v>
      </c>
      <c r="AO57" s="22">
        <v>8</v>
      </c>
    </row>
    <row r="58" spans="1:41" x14ac:dyDescent="0.35">
      <c r="A58" s="37">
        <v>17</v>
      </c>
      <c r="B58" s="37" t="s">
        <v>4</v>
      </c>
      <c r="C58" s="37" t="s">
        <v>57</v>
      </c>
      <c r="D58" s="38"/>
      <c r="E58" s="38"/>
      <c r="F58" s="38"/>
      <c r="G58" s="38"/>
      <c r="H58" s="38"/>
      <c r="I58" s="38"/>
      <c r="J58" s="39"/>
      <c r="K58" s="62">
        <v>227.61</v>
      </c>
      <c r="L58" s="64"/>
      <c r="M58" s="62">
        <v>63.13</v>
      </c>
      <c r="N58" s="64">
        <v>17</v>
      </c>
      <c r="O58" s="62">
        <f t="shared" si="0"/>
        <v>32.896000000000008</v>
      </c>
      <c r="P58" s="64"/>
      <c r="Q58" s="138">
        <v>13.618</v>
      </c>
      <c r="R58" s="138"/>
      <c r="S58" s="138"/>
      <c r="T58" s="138">
        <f>2.873+4.49</f>
        <v>7.3630000000000004</v>
      </c>
      <c r="U58" s="138"/>
      <c r="V58" s="138"/>
      <c r="W58" s="138">
        <f>71.22-4.49</f>
        <v>66.73</v>
      </c>
      <c r="X58" s="138"/>
      <c r="Y58" s="138"/>
      <c r="Z58" s="138">
        <v>52.935000000000002</v>
      </c>
      <c r="AA58" s="138"/>
      <c r="AB58" s="138"/>
      <c r="AC58" s="138">
        <v>103</v>
      </c>
      <c r="AD58" s="138"/>
      <c r="AE58" s="138"/>
      <c r="AF58" s="138">
        <v>13.724</v>
      </c>
      <c r="AG58" s="138"/>
      <c r="AH58" s="138"/>
      <c r="AI58" s="138">
        <v>417</v>
      </c>
      <c r="AJ58" s="138"/>
      <c r="AK58" s="138">
        <f t="shared" si="1"/>
        <v>87.711000000000013</v>
      </c>
      <c r="AL58" s="138"/>
      <c r="AM58" s="22">
        <v>3</v>
      </c>
      <c r="AN58" s="3">
        <v>3.85</v>
      </c>
      <c r="AO58" s="22">
        <v>9</v>
      </c>
    </row>
    <row r="59" spans="1:41" x14ac:dyDescent="0.35">
      <c r="A59" s="37">
        <v>18</v>
      </c>
      <c r="B59" s="37" t="s">
        <v>4</v>
      </c>
      <c r="C59" s="37" t="s">
        <v>59</v>
      </c>
      <c r="D59" s="38"/>
      <c r="E59" s="38"/>
      <c r="F59" s="38"/>
      <c r="G59" s="38"/>
      <c r="H59" s="38"/>
      <c r="I59" s="38"/>
      <c r="J59" s="39"/>
      <c r="K59" s="62">
        <v>224.45000000000002</v>
      </c>
      <c r="L59" s="64"/>
      <c r="M59" s="62">
        <v>59.92</v>
      </c>
      <c r="N59" s="64">
        <v>18</v>
      </c>
      <c r="O59" s="62">
        <f t="shared" si="0"/>
        <v>32.906000000000006</v>
      </c>
      <c r="P59" s="64"/>
      <c r="Q59" s="138">
        <v>11.332000000000001</v>
      </c>
      <c r="R59" s="138"/>
      <c r="S59" s="138"/>
      <c r="T59" s="138">
        <f>2.331+3.853</f>
        <v>6.1840000000000002</v>
      </c>
      <c r="U59" s="138"/>
      <c r="V59" s="138"/>
      <c r="W59" s="138">
        <f>14.43-3.853</f>
        <v>10.577</v>
      </c>
      <c r="X59" s="138"/>
      <c r="Y59" s="138"/>
      <c r="Z59" s="138">
        <v>54.216000000000001</v>
      </c>
      <c r="AA59" s="138"/>
      <c r="AB59" s="138"/>
      <c r="AC59" s="138">
        <v>106</v>
      </c>
      <c r="AD59" s="138"/>
      <c r="AE59" s="138"/>
      <c r="AF59" s="138">
        <v>11.723000000000001</v>
      </c>
      <c r="AG59" s="138"/>
      <c r="AH59" s="138"/>
      <c r="AI59" s="138">
        <v>329</v>
      </c>
      <c r="AJ59" s="138"/>
      <c r="AK59" s="138">
        <f t="shared" si="1"/>
        <v>28.093000000000004</v>
      </c>
      <c r="AL59" s="138"/>
      <c r="AM59" s="22">
        <v>2</v>
      </c>
      <c r="AN59" s="3">
        <v>3.9</v>
      </c>
      <c r="AO59" s="22">
        <v>8</v>
      </c>
    </row>
    <row r="60" spans="1:41" x14ac:dyDescent="0.35">
      <c r="A60" s="37">
        <v>19</v>
      </c>
      <c r="B60" s="37" t="s">
        <v>4</v>
      </c>
      <c r="C60" s="37" t="s">
        <v>61</v>
      </c>
      <c r="D60" s="38"/>
      <c r="E60" s="38"/>
      <c r="F60" s="38"/>
      <c r="G60" s="38"/>
      <c r="H60" s="38"/>
      <c r="I60" s="38"/>
      <c r="J60" s="39"/>
      <c r="K60" s="62">
        <v>227.61</v>
      </c>
      <c r="L60" s="64"/>
      <c r="M60" s="62">
        <v>63.13</v>
      </c>
      <c r="N60" s="64">
        <v>19</v>
      </c>
      <c r="O60" s="62">
        <f t="shared" si="0"/>
        <v>32.896000000000008</v>
      </c>
      <c r="P60" s="64"/>
      <c r="Q60" s="138">
        <v>13.618</v>
      </c>
      <c r="R60" s="138"/>
      <c r="S60" s="138"/>
      <c r="T60" s="138">
        <f>2.873+4.49</f>
        <v>7.3630000000000004</v>
      </c>
      <c r="U60" s="138"/>
      <c r="V60" s="138"/>
      <c r="W60" s="138">
        <f>20.95-4.49</f>
        <v>16.46</v>
      </c>
      <c r="X60" s="138"/>
      <c r="Y60" s="138"/>
      <c r="Z60" s="138">
        <v>52.935000000000002</v>
      </c>
      <c r="AA60" s="138"/>
      <c r="AB60" s="138"/>
      <c r="AC60" s="138">
        <v>103</v>
      </c>
      <c r="AD60" s="138"/>
      <c r="AE60" s="138"/>
      <c r="AF60" s="138">
        <v>13.724</v>
      </c>
      <c r="AG60" s="138"/>
      <c r="AH60" s="138"/>
      <c r="AI60" s="138">
        <v>417</v>
      </c>
      <c r="AJ60" s="138"/>
      <c r="AK60" s="138">
        <f t="shared" si="1"/>
        <v>37.441000000000003</v>
      </c>
      <c r="AL60" s="138"/>
      <c r="AM60" s="22">
        <v>2</v>
      </c>
      <c r="AN60" s="3">
        <v>3.85</v>
      </c>
      <c r="AO60" s="22">
        <v>9</v>
      </c>
    </row>
    <row r="61" spans="1:41" x14ac:dyDescent="0.35">
      <c r="A61" s="37">
        <v>20</v>
      </c>
      <c r="B61" s="37" t="s">
        <v>63</v>
      </c>
      <c r="C61" s="37" t="s">
        <v>64</v>
      </c>
      <c r="D61" s="38"/>
      <c r="E61" s="38"/>
      <c r="F61" s="38"/>
      <c r="G61" s="38"/>
      <c r="H61" s="38"/>
      <c r="I61" s="38"/>
      <c r="J61" s="39"/>
      <c r="K61" s="160">
        <v>75.489999999999995</v>
      </c>
      <c r="L61" s="161"/>
      <c r="M61" s="160"/>
      <c r="N61" s="161">
        <v>20</v>
      </c>
      <c r="O61" s="62">
        <f t="shared" si="0"/>
        <v>15.097999999999999</v>
      </c>
      <c r="P61" s="64"/>
      <c r="Q61" s="138">
        <v>3.3220000000000001</v>
      </c>
      <c r="R61" s="138"/>
      <c r="S61" s="138"/>
      <c r="T61" s="138">
        <f>1.693+0</f>
        <v>1.6930000000000001</v>
      </c>
      <c r="U61" s="138"/>
      <c r="V61" s="138"/>
      <c r="W61" s="145">
        <f>0.086*(AI61/2.6)</f>
        <v>3.8369230769230764</v>
      </c>
      <c r="X61" s="145"/>
      <c r="Y61" s="145"/>
      <c r="Z61" s="138">
        <v>13.808</v>
      </c>
      <c r="AA61" s="138"/>
      <c r="AB61" s="138"/>
      <c r="AC61" s="138">
        <v>28</v>
      </c>
      <c r="AD61" s="138"/>
      <c r="AE61" s="138"/>
      <c r="AF61" s="138">
        <v>1.4000000000000001</v>
      </c>
      <c r="AG61" s="138"/>
      <c r="AH61" s="138"/>
      <c r="AI61" s="138">
        <v>116</v>
      </c>
      <c r="AJ61" s="138"/>
      <c r="AK61" s="138">
        <f t="shared" si="1"/>
        <v>8.851923076923077</v>
      </c>
      <c r="AL61" s="138"/>
      <c r="AM61" s="22">
        <v>1</v>
      </c>
      <c r="AN61" s="3">
        <v>4</v>
      </c>
      <c r="AO61" s="22">
        <v>13</v>
      </c>
    </row>
    <row r="62" spans="1:41" x14ac:dyDescent="0.35">
      <c r="A62" s="37">
        <v>21</v>
      </c>
      <c r="B62" s="37" t="s">
        <v>63</v>
      </c>
      <c r="C62" s="37" t="s">
        <v>66</v>
      </c>
      <c r="D62" s="38"/>
      <c r="E62" s="38"/>
      <c r="F62" s="38"/>
      <c r="G62" s="38"/>
      <c r="H62" s="38"/>
      <c r="I62" s="38"/>
      <c r="J62" s="39"/>
      <c r="K62" s="62">
        <v>75.489999999999995</v>
      </c>
      <c r="L62" s="64"/>
      <c r="M62" s="62"/>
      <c r="N62" s="64">
        <v>21</v>
      </c>
      <c r="O62" s="62">
        <f t="shared" si="0"/>
        <v>15.097999999999999</v>
      </c>
      <c r="P62" s="64"/>
      <c r="Q62" s="138">
        <v>3.3220000000000001</v>
      </c>
      <c r="R62" s="138"/>
      <c r="S62" s="138"/>
      <c r="T62" s="138">
        <f>1.693+0.965</f>
        <v>2.6579999999999999</v>
      </c>
      <c r="U62" s="138"/>
      <c r="V62" s="138"/>
      <c r="W62" s="138">
        <f>6.26-0.97</f>
        <v>5.29</v>
      </c>
      <c r="X62" s="138"/>
      <c r="Y62" s="138"/>
      <c r="Z62" s="138">
        <v>13.808</v>
      </c>
      <c r="AA62" s="138"/>
      <c r="AB62" s="138"/>
      <c r="AC62" s="138">
        <v>28</v>
      </c>
      <c r="AD62" s="138"/>
      <c r="AE62" s="138"/>
      <c r="AF62" s="138">
        <v>1.4000000000000001</v>
      </c>
      <c r="AG62" s="138"/>
      <c r="AH62" s="138"/>
      <c r="AI62" s="138">
        <v>116</v>
      </c>
      <c r="AJ62" s="138"/>
      <c r="AK62" s="138">
        <f t="shared" si="1"/>
        <v>11.27</v>
      </c>
      <c r="AL62" s="138"/>
      <c r="AM62" s="22">
        <v>2</v>
      </c>
      <c r="AN62" s="3">
        <v>4</v>
      </c>
      <c r="AO62" s="22">
        <v>13</v>
      </c>
    </row>
    <row r="63" spans="1:41" x14ac:dyDescent="0.35">
      <c r="A63" s="37">
        <v>22</v>
      </c>
      <c r="B63" s="37" t="s">
        <v>63</v>
      </c>
      <c r="C63" s="37" t="s">
        <v>68</v>
      </c>
      <c r="D63" s="38"/>
      <c r="E63" s="38"/>
      <c r="F63" s="38"/>
      <c r="G63" s="38"/>
      <c r="H63" s="38"/>
      <c r="I63" s="38"/>
      <c r="J63" s="39"/>
      <c r="K63" s="62">
        <v>81.510000000000005</v>
      </c>
      <c r="L63" s="64"/>
      <c r="M63" s="62"/>
      <c r="N63" s="64"/>
      <c r="O63" s="62">
        <f t="shared" si="0"/>
        <v>16.302000000000003</v>
      </c>
      <c r="P63" s="64"/>
      <c r="Q63" s="137">
        <f>4.63*0.95</f>
        <v>4.3984999999999994</v>
      </c>
      <c r="R63" s="137"/>
      <c r="S63" s="137"/>
      <c r="T63" s="138">
        <f>0.28+0</f>
        <v>0.28000000000000003</v>
      </c>
      <c r="U63" s="138"/>
      <c r="V63" s="138"/>
      <c r="W63" s="145">
        <f>0.086*(AI63/2.6)</f>
        <v>4.2007692307692306</v>
      </c>
      <c r="X63" s="145"/>
      <c r="Y63" s="145"/>
      <c r="Z63" s="138">
        <v>15.84</v>
      </c>
      <c r="AA63" s="138"/>
      <c r="AB63" s="138"/>
      <c r="AC63" s="138">
        <v>32</v>
      </c>
      <c r="AD63" s="138"/>
      <c r="AE63" s="138"/>
      <c r="AF63" s="138">
        <v>1.4000000000000001</v>
      </c>
      <c r="AG63" s="138"/>
      <c r="AH63" s="138"/>
      <c r="AI63" s="138">
        <v>127</v>
      </c>
      <c r="AJ63" s="138"/>
      <c r="AK63" s="138">
        <f t="shared" si="1"/>
        <v>8.8792692307692302</v>
      </c>
      <c r="AL63" s="138"/>
      <c r="AM63" s="22">
        <v>1</v>
      </c>
      <c r="AN63" s="3">
        <v>3.8000000000000003</v>
      </c>
      <c r="AO63" s="22">
        <v>14</v>
      </c>
    </row>
    <row r="64" spans="1:41" x14ac:dyDescent="0.35">
      <c r="A64" s="37">
        <v>23</v>
      </c>
      <c r="B64" s="37" t="s">
        <v>63</v>
      </c>
      <c r="C64" s="37" t="s">
        <v>70</v>
      </c>
      <c r="D64" s="38"/>
      <c r="E64" s="38"/>
      <c r="F64" s="38"/>
      <c r="G64" s="38"/>
      <c r="H64" s="38"/>
      <c r="I64" s="38"/>
      <c r="J64" s="39"/>
      <c r="K64" s="62">
        <v>81.510000000000005</v>
      </c>
      <c r="L64" s="64"/>
      <c r="M64" s="62"/>
      <c r="N64" s="64"/>
      <c r="O64" s="62">
        <f t="shared" si="0"/>
        <v>16.302000000000003</v>
      </c>
      <c r="P64" s="64"/>
      <c r="Q64" s="137">
        <f>4.63*0.95</f>
        <v>4.3984999999999994</v>
      </c>
      <c r="R64" s="137"/>
      <c r="S64" s="137"/>
      <c r="T64" s="138">
        <f>0.28+1.42</f>
        <v>1.7</v>
      </c>
      <c r="U64" s="138"/>
      <c r="V64" s="138"/>
      <c r="W64" s="137">
        <f>6.64-1.42</f>
        <v>5.22</v>
      </c>
      <c r="X64" s="137"/>
      <c r="Y64" s="137"/>
      <c r="Z64" s="138">
        <v>15.84</v>
      </c>
      <c r="AA64" s="138"/>
      <c r="AB64" s="138"/>
      <c r="AC64" s="138">
        <v>32</v>
      </c>
      <c r="AD64" s="138"/>
      <c r="AE64" s="138"/>
      <c r="AF64" s="138">
        <v>1.4000000000000001</v>
      </c>
      <c r="AG64" s="138"/>
      <c r="AH64" s="138"/>
      <c r="AI64" s="138">
        <v>127</v>
      </c>
      <c r="AJ64" s="138"/>
      <c r="AK64" s="138">
        <f t="shared" si="1"/>
        <v>11.3185</v>
      </c>
      <c r="AL64" s="138"/>
      <c r="AM64" s="22">
        <v>2</v>
      </c>
      <c r="AN64" s="3">
        <v>3.8000000000000003</v>
      </c>
      <c r="AO64" s="22">
        <v>14</v>
      </c>
    </row>
    <row r="65" spans="1:41" x14ac:dyDescent="0.35">
      <c r="A65" s="37">
        <v>24</v>
      </c>
      <c r="B65" s="37" t="s">
        <v>63</v>
      </c>
      <c r="C65" s="37" t="s">
        <v>71</v>
      </c>
      <c r="D65" s="38"/>
      <c r="E65" s="38"/>
      <c r="F65" s="38"/>
      <c r="G65" s="38"/>
      <c r="H65" s="38"/>
      <c r="I65" s="38"/>
      <c r="J65" s="39"/>
      <c r="K65" s="62">
        <v>97.4</v>
      </c>
      <c r="L65" s="64"/>
      <c r="M65" s="62"/>
      <c r="N65" s="64"/>
      <c r="O65" s="62">
        <f t="shared" si="0"/>
        <v>19.480000000000004</v>
      </c>
      <c r="P65" s="64"/>
      <c r="Q65" s="137">
        <f>5.46*0.95</f>
        <v>5.1869999999999994</v>
      </c>
      <c r="R65" s="137"/>
      <c r="S65" s="137"/>
      <c r="T65" s="138">
        <f>1.57+0</f>
        <v>1.57</v>
      </c>
      <c r="U65" s="138"/>
      <c r="V65" s="138"/>
      <c r="W65" s="159">
        <f>0.086*(AI65/2.6)</f>
        <v>4.8887692307692303</v>
      </c>
      <c r="X65" s="159"/>
      <c r="Y65" s="159"/>
      <c r="Z65" s="138">
        <v>19.762</v>
      </c>
      <c r="AA65" s="138"/>
      <c r="AB65" s="138"/>
      <c r="AC65" s="138">
        <v>40</v>
      </c>
      <c r="AD65" s="138"/>
      <c r="AE65" s="138"/>
      <c r="AF65" s="138">
        <v>1.4000000000000001</v>
      </c>
      <c r="AG65" s="138"/>
      <c r="AH65" s="138"/>
      <c r="AI65" s="138">
        <v>147.80000000000001</v>
      </c>
      <c r="AJ65" s="138"/>
      <c r="AK65" s="138">
        <f t="shared" si="1"/>
        <v>11.645769230769229</v>
      </c>
      <c r="AL65" s="138"/>
      <c r="AM65" s="22">
        <v>1</v>
      </c>
      <c r="AN65" s="3">
        <v>3.8000000000000003</v>
      </c>
      <c r="AO65" s="22">
        <v>15</v>
      </c>
    </row>
    <row r="66" spans="1:41" x14ac:dyDescent="0.35">
      <c r="A66" s="37">
        <v>25</v>
      </c>
      <c r="B66" s="37" t="s">
        <v>63</v>
      </c>
      <c r="C66" s="37" t="s">
        <v>73</v>
      </c>
      <c r="D66" s="38"/>
      <c r="E66" s="38"/>
      <c r="F66" s="38"/>
      <c r="G66" s="38"/>
      <c r="H66" s="38"/>
      <c r="I66" s="38"/>
      <c r="J66" s="39"/>
      <c r="K66" s="62">
        <v>97.4</v>
      </c>
      <c r="L66" s="64"/>
      <c r="M66" s="62"/>
      <c r="N66" s="64"/>
      <c r="O66" s="62">
        <f t="shared" si="0"/>
        <v>19.480000000000004</v>
      </c>
      <c r="P66" s="64"/>
      <c r="Q66" s="137">
        <v>5.46</v>
      </c>
      <c r="R66" s="137"/>
      <c r="S66" s="137"/>
      <c r="T66" s="138">
        <f>1.57+0.3</f>
        <v>1.87</v>
      </c>
      <c r="U66" s="138"/>
      <c r="V66" s="138"/>
      <c r="W66" s="137">
        <f>7.28-1.57</f>
        <v>5.71</v>
      </c>
      <c r="X66" s="137"/>
      <c r="Y66" s="137"/>
      <c r="Z66" s="138">
        <v>19.762</v>
      </c>
      <c r="AA66" s="138"/>
      <c r="AB66" s="138"/>
      <c r="AC66" s="138">
        <v>40</v>
      </c>
      <c r="AD66" s="138"/>
      <c r="AE66" s="138"/>
      <c r="AF66" s="138">
        <v>1.4000000000000001</v>
      </c>
      <c r="AG66" s="138"/>
      <c r="AH66" s="138"/>
      <c r="AI66" s="138">
        <v>147.80000000000001</v>
      </c>
      <c r="AJ66" s="138"/>
      <c r="AK66" s="138">
        <f t="shared" si="1"/>
        <v>13.04</v>
      </c>
      <c r="AL66" s="138"/>
      <c r="AM66" s="22">
        <v>2</v>
      </c>
      <c r="AN66" s="3">
        <v>3.8000000000000003</v>
      </c>
      <c r="AO66" s="22">
        <v>15</v>
      </c>
    </row>
    <row r="67" spans="1:41" x14ac:dyDescent="0.35">
      <c r="A67" s="37">
        <v>26</v>
      </c>
      <c r="B67" s="37" t="s">
        <v>63</v>
      </c>
      <c r="C67" s="37" t="s">
        <v>75</v>
      </c>
      <c r="D67" s="38"/>
      <c r="E67" s="38"/>
      <c r="F67" s="38"/>
      <c r="G67" s="38"/>
      <c r="H67" s="38"/>
      <c r="I67" s="38"/>
      <c r="J67" s="39"/>
      <c r="K67" s="62">
        <v>110.51</v>
      </c>
      <c r="L67" s="64"/>
      <c r="M67" s="62"/>
      <c r="N67" s="64"/>
      <c r="O67" s="62">
        <f t="shared" si="0"/>
        <v>22.102000000000004</v>
      </c>
      <c r="P67" s="64"/>
      <c r="Q67" s="138">
        <v>5.5970000000000004</v>
      </c>
      <c r="R67" s="138"/>
      <c r="S67" s="138"/>
      <c r="T67" s="138">
        <f>1.772+0</f>
        <v>1.772</v>
      </c>
      <c r="U67" s="138"/>
      <c r="V67" s="138"/>
      <c r="W67" s="145">
        <f>0.086*(AI67/2.6)</f>
        <v>5.193076923076922</v>
      </c>
      <c r="X67" s="145"/>
      <c r="Y67" s="145"/>
      <c r="Z67" s="138">
        <v>21.814</v>
      </c>
      <c r="AA67" s="138"/>
      <c r="AB67" s="138"/>
      <c r="AC67" s="138">
        <v>44</v>
      </c>
      <c r="AD67" s="138"/>
      <c r="AE67" s="138"/>
      <c r="AF67" s="138">
        <v>1.4000000000000001</v>
      </c>
      <c r="AG67" s="138"/>
      <c r="AH67" s="138"/>
      <c r="AI67" s="138">
        <v>157</v>
      </c>
      <c r="AJ67" s="138"/>
      <c r="AK67" s="138">
        <f t="shared" si="1"/>
        <v>12.562076923076923</v>
      </c>
      <c r="AL67" s="138"/>
      <c r="AM67" s="22">
        <v>1</v>
      </c>
      <c r="AN67" s="3">
        <v>3.9</v>
      </c>
      <c r="AO67" s="22">
        <v>16</v>
      </c>
    </row>
    <row r="68" spans="1:41" x14ac:dyDescent="0.35">
      <c r="A68" s="37">
        <v>27</v>
      </c>
      <c r="B68" s="37" t="s">
        <v>63</v>
      </c>
      <c r="C68" s="37" t="s">
        <v>77</v>
      </c>
      <c r="D68" s="38"/>
      <c r="E68" s="38"/>
      <c r="F68" s="38"/>
      <c r="G68" s="38"/>
      <c r="H68" s="38"/>
      <c r="I68" s="38"/>
      <c r="J68" s="39"/>
      <c r="K68" s="62">
        <v>110.51</v>
      </c>
      <c r="L68" s="64"/>
      <c r="M68" s="62"/>
      <c r="N68" s="64"/>
      <c r="O68" s="62">
        <f t="shared" si="0"/>
        <v>22.102000000000004</v>
      </c>
      <c r="P68" s="64"/>
      <c r="Q68" s="138">
        <v>5.5970000000000004</v>
      </c>
      <c r="R68" s="138"/>
      <c r="S68" s="138"/>
      <c r="T68" s="138">
        <f>1.772+1.389</f>
        <v>3.161</v>
      </c>
      <c r="U68" s="138"/>
      <c r="V68" s="138"/>
      <c r="W68" s="138">
        <f>7.73-1.389</f>
        <v>6.3410000000000002</v>
      </c>
      <c r="X68" s="138"/>
      <c r="Y68" s="138"/>
      <c r="Z68" s="138">
        <v>21.814</v>
      </c>
      <c r="AA68" s="138"/>
      <c r="AB68" s="138"/>
      <c r="AC68" s="138">
        <v>44</v>
      </c>
      <c r="AD68" s="138"/>
      <c r="AE68" s="138"/>
      <c r="AF68" s="138">
        <v>1.4000000000000001</v>
      </c>
      <c r="AG68" s="138"/>
      <c r="AH68" s="138"/>
      <c r="AI68" s="138">
        <v>157</v>
      </c>
      <c r="AJ68" s="138"/>
      <c r="AK68" s="138">
        <f t="shared" si="1"/>
        <v>15.099</v>
      </c>
      <c r="AL68" s="138"/>
      <c r="AM68" s="22">
        <v>2</v>
      </c>
      <c r="AN68" s="3">
        <v>3.9</v>
      </c>
      <c r="AO68" s="22">
        <v>16</v>
      </c>
    </row>
    <row r="69" spans="1:41" x14ac:dyDescent="0.35">
      <c r="A69" s="37">
        <v>28</v>
      </c>
      <c r="B69" s="37" t="s">
        <v>63</v>
      </c>
      <c r="C69" s="37" t="s">
        <v>79</v>
      </c>
      <c r="D69" s="38"/>
      <c r="E69" s="38"/>
      <c r="F69" s="38"/>
      <c r="G69" s="38"/>
      <c r="H69" s="38"/>
      <c r="I69" s="38"/>
      <c r="J69" s="39"/>
      <c r="K69" s="62">
        <v>164.35</v>
      </c>
      <c r="L69" s="64"/>
      <c r="M69" s="62"/>
      <c r="N69" s="64"/>
      <c r="O69" s="62">
        <f t="shared" si="0"/>
        <v>32.869999999999997</v>
      </c>
      <c r="P69" s="64"/>
      <c r="Q69" s="136"/>
      <c r="R69" s="136"/>
      <c r="S69" s="136"/>
      <c r="T69" s="136"/>
      <c r="U69" s="136"/>
      <c r="V69" s="136"/>
      <c r="W69" s="136"/>
      <c r="X69" s="136"/>
      <c r="Y69" s="136"/>
      <c r="Z69" s="138">
        <v>34.792000000000002</v>
      </c>
      <c r="AA69" s="138"/>
      <c r="AB69" s="138"/>
      <c r="AC69" s="138">
        <v>70</v>
      </c>
      <c r="AD69" s="138"/>
      <c r="AE69" s="138"/>
      <c r="AF69" s="138">
        <v>1.4000000000000001</v>
      </c>
      <c r="AG69" s="138"/>
      <c r="AH69" s="138"/>
      <c r="AI69" s="138">
        <v>248.8</v>
      </c>
      <c r="AJ69" s="138"/>
      <c r="AK69" s="138">
        <f t="shared" si="1"/>
        <v>0</v>
      </c>
      <c r="AL69" s="138"/>
      <c r="AM69" s="22">
        <v>1</v>
      </c>
      <c r="AN69" s="3">
        <v>3.85</v>
      </c>
      <c r="AO69" s="22">
        <v>17</v>
      </c>
    </row>
    <row r="70" spans="1:41" x14ac:dyDescent="0.35">
      <c r="A70" s="37">
        <v>29</v>
      </c>
      <c r="B70" s="37" t="s">
        <v>63</v>
      </c>
      <c r="C70" s="37" t="s">
        <v>82</v>
      </c>
      <c r="D70" s="38"/>
      <c r="E70" s="38"/>
      <c r="F70" s="38"/>
      <c r="G70" s="38"/>
      <c r="H70" s="38"/>
      <c r="I70" s="38"/>
      <c r="J70" s="39"/>
      <c r="K70" s="62">
        <v>164.35</v>
      </c>
      <c r="L70" s="64"/>
      <c r="M70" s="62"/>
      <c r="N70" s="64"/>
      <c r="O70" s="62">
        <f t="shared" si="0"/>
        <v>32.869999999999997</v>
      </c>
      <c r="P70" s="64"/>
      <c r="Q70" s="136"/>
      <c r="R70" s="136"/>
      <c r="S70" s="136"/>
      <c r="T70" s="136"/>
      <c r="U70" s="136"/>
      <c r="V70" s="136"/>
      <c r="W70" s="136"/>
      <c r="X70" s="136"/>
      <c r="Y70" s="136"/>
      <c r="Z70" s="138">
        <v>34.792000000000002</v>
      </c>
      <c r="AA70" s="138"/>
      <c r="AB70" s="138"/>
      <c r="AC70" s="138">
        <v>70</v>
      </c>
      <c r="AD70" s="138"/>
      <c r="AE70" s="138"/>
      <c r="AF70" s="138">
        <v>1.4000000000000001</v>
      </c>
      <c r="AG70" s="138"/>
      <c r="AH70" s="138"/>
      <c r="AI70" s="138">
        <v>248.8</v>
      </c>
      <c r="AJ70" s="138"/>
      <c r="AK70" s="138">
        <f t="shared" si="1"/>
        <v>0</v>
      </c>
      <c r="AL70" s="138"/>
      <c r="AM70" s="22">
        <v>2</v>
      </c>
      <c r="AN70" s="3">
        <v>3.85</v>
      </c>
      <c r="AO70" s="22">
        <v>17</v>
      </c>
    </row>
    <row r="71" spans="1:41" x14ac:dyDescent="0.35">
      <c r="A71" s="37">
        <v>30</v>
      </c>
      <c r="B71" s="37" t="s">
        <v>63</v>
      </c>
      <c r="C71" s="37" t="s">
        <v>84</v>
      </c>
      <c r="D71" s="38"/>
      <c r="E71" s="38"/>
      <c r="F71" s="38"/>
      <c r="G71" s="38"/>
      <c r="H71" s="38"/>
      <c r="I71" s="38"/>
      <c r="J71" s="39"/>
      <c r="K71" s="62">
        <v>176.58</v>
      </c>
      <c r="L71" s="64"/>
      <c r="M71" s="62"/>
      <c r="N71" s="64"/>
      <c r="O71" s="62">
        <f t="shared" si="0"/>
        <v>35.316000000000003</v>
      </c>
      <c r="P71" s="64"/>
      <c r="Q71" s="136"/>
      <c r="R71" s="136"/>
      <c r="S71" s="136"/>
      <c r="T71" s="136"/>
      <c r="U71" s="136"/>
      <c r="V71" s="136"/>
      <c r="W71" s="136"/>
      <c r="X71" s="136"/>
      <c r="Y71" s="136"/>
      <c r="Z71" s="138">
        <v>37.024000000000001</v>
      </c>
      <c r="AA71" s="138"/>
      <c r="AB71" s="138"/>
      <c r="AC71" s="138">
        <v>74</v>
      </c>
      <c r="AD71" s="138"/>
      <c r="AE71" s="138"/>
      <c r="AF71" s="138">
        <v>1.4000000000000001</v>
      </c>
      <c r="AG71" s="138"/>
      <c r="AH71" s="138"/>
      <c r="AI71" s="138">
        <v>250</v>
      </c>
      <c r="AJ71" s="138"/>
      <c r="AK71" s="138">
        <f t="shared" si="1"/>
        <v>0</v>
      </c>
      <c r="AL71" s="138"/>
      <c r="AM71" s="22">
        <v>1</v>
      </c>
      <c r="AN71" s="3">
        <v>4.2</v>
      </c>
      <c r="AO71" s="22">
        <v>18</v>
      </c>
    </row>
    <row r="72" spans="1:41" x14ac:dyDescent="0.35">
      <c r="A72" s="37">
        <v>31</v>
      </c>
      <c r="B72" s="37" t="s">
        <v>63</v>
      </c>
      <c r="C72" s="37" t="s">
        <v>86</v>
      </c>
      <c r="D72" s="38"/>
      <c r="E72" s="38"/>
      <c r="F72" s="38"/>
      <c r="G72" s="38"/>
      <c r="H72" s="38"/>
      <c r="I72" s="38"/>
      <c r="J72" s="39"/>
      <c r="K72" s="62">
        <v>176.58</v>
      </c>
      <c r="L72" s="64"/>
      <c r="M72" s="62"/>
      <c r="N72" s="64"/>
      <c r="O72" s="62">
        <f t="shared" si="0"/>
        <v>35.316000000000003</v>
      </c>
      <c r="P72" s="64"/>
      <c r="Q72" s="136"/>
      <c r="R72" s="136"/>
      <c r="S72" s="136"/>
      <c r="T72" s="136"/>
      <c r="U72" s="136"/>
      <c r="V72" s="136"/>
      <c r="W72" s="136"/>
      <c r="X72" s="136"/>
      <c r="Y72" s="136"/>
      <c r="Z72" s="138">
        <v>37.024000000000001</v>
      </c>
      <c r="AA72" s="138"/>
      <c r="AB72" s="138"/>
      <c r="AC72" s="138">
        <v>74</v>
      </c>
      <c r="AD72" s="138"/>
      <c r="AE72" s="138"/>
      <c r="AF72" s="138">
        <v>1.4000000000000001</v>
      </c>
      <c r="AG72" s="138"/>
      <c r="AH72" s="138"/>
      <c r="AI72" s="138">
        <v>250</v>
      </c>
      <c r="AJ72" s="138"/>
      <c r="AK72" s="138">
        <f t="shared" si="1"/>
        <v>0</v>
      </c>
      <c r="AL72" s="138"/>
      <c r="AM72" s="22">
        <v>2</v>
      </c>
      <c r="AN72" s="3">
        <v>4.2</v>
      </c>
      <c r="AO72" s="22">
        <v>18</v>
      </c>
    </row>
    <row r="73" spans="1:41" x14ac:dyDescent="0.35">
      <c r="A73" s="37">
        <v>32</v>
      </c>
      <c r="B73" s="37" t="s">
        <v>63</v>
      </c>
      <c r="C73" s="37" t="s">
        <v>88</v>
      </c>
      <c r="D73" s="38"/>
      <c r="E73" s="38"/>
      <c r="F73" s="38"/>
      <c r="G73" s="38"/>
      <c r="H73" s="38"/>
      <c r="I73" s="38"/>
      <c r="J73" s="39"/>
      <c r="K73" s="62">
        <v>204.61</v>
      </c>
      <c r="L73" s="64"/>
      <c r="M73" s="62"/>
      <c r="N73" s="64"/>
      <c r="O73" s="62">
        <f t="shared" si="0"/>
        <v>40.922000000000004</v>
      </c>
      <c r="P73" s="64"/>
      <c r="Q73" s="138">
        <v>8.1120000000000001</v>
      </c>
      <c r="R73" s="138"/>
      <c r="S73" s="138"/>
      <c r="T73" s="138">
        <f>2.499+0</f>
        <v>2.4990000000000001</v>
      </c>
      <c r="U73" s="138"/>
      <c r="V73" s="138"/>
      <c r="W73" s="145">
        <f>0.086*(AI73/2.6)</f>
        <v>9.0432307692307692</v>
      </c>
      <c r="X73" s="145"/>
      <c r="Y73" s="145"/>
      <c r="Z73" s="138">
        <v>33.230000000000004</v>
      </c>
      <c r="AA73" s="138"/>
      <c r="AB73" s="138"/>
      <c r="AC73" s="138">
        <v>66</v>
      </c>
      <c r="AD73" s="138"/>
      <c r="AE73" s="138"/>
      <c r="AF73" s="138">
        <f>4.051+2.36</f>
        <v>6.4109999999999996</v>
      </c>
      <c r="AG73" s="138"/>
      <c r="AH73" s="138"/>
      <c r="AI73" s="138">
        <v>273.40000000000003</v>
      </c>
      <c r="AJ73" s="138"/>
      <c r="AK73" s="138">
        <f t="shared" si="1"/>
        <v>19.654230769230772</v>
      </c>
      <c r="AL73" s="138"/>
      <c r="AM73" s="22">
        <v>1</v>
      </c>
      <c r="AN73" s="3">
        <v>3.85</v>
      </c>
      <c r="AO73" s="22">
        <v>19</v>
      </c>
    </row>
    <row r="74" spans="1:41" x14ac:dyDescent="0.35">
      <c r="A74" s="37">
        <v>33</v>
      </c>
      <c r="B74" s="37" t="s">
        <v>63</v>
      </c>
      <c r="C74" s="37" t="s">
        <v>91</v>
      </c>
      <c r="D74" s="38"/>
      <c r="E74" s="38"/>
      <c r="F74" s="38"/>
      <c r="G74" s="38"/>
      <c r="H74" s="38"/>
      <c r="I74" s="38"/>
      <c r="J74" s="39"/>
      <c r="K74" s="62">
        <v>204.61</v>
      </c>
      <c r="L74" s="64"/>
      <c r="M74" s="62"/>
      <c r="N74" s="64"/>
      <c r="O74" s="62">
        <f t="shared" ref="O74:O105" si="2">(K74-M74)*0.2</f>
        <v>40.922000000000004</v>
      </c>
      <c r="P74" s="64"/>
      <c r="Q74" s="138">
        <v>8.1120000000000001</v>
      </c>
      <c r="R74" s="138"/>
      <c r="S74" s="138"/>
      <c r="T74" s="138">
        <f>2.499+2.758</f>
        <v>5.2569999999999997</v>
      </c>
      <c r="U74" s="138"/>
      <c r="V74" s="138"/>
      <c r="W74" s="138">
        <f>14.63-2.758</f>
        <v>11.872</v>
      </c>
      <c r="X74" s="138"/>
      <c r="Y74" s="138"/>
      <c r="Z74" s="138">
        <v>33.230000000000004</v>
      </c>
      <c r="AA74" s="138"/>
      <c r="AB74" s="138"/>
      <c r="AC74" s="138">
        <v>66</v>
      </c>
      <c r="AD74" s="138"/>
      <c r="AE74" s="138"/>
      <c r="AF74" s="138">
        <f>4.051+2.36</f>
        <v>6.4109999999999996</v>
      </c>
      <c r="AG74" s="138"/>
      <c r="AH74" s="138"/>
      <c r="AI74" s="138">
        <v>273.40000000000003</v>
      </c>
      <c r="AJ74" s="138"/>
      <c r="AK74" s="138">
        <f t="shared" ref="AK74:AK105" si="3">Q74+T74+W74</f>
        <v>25.241</v>
      </c>
      <c r="AL74" s="138"/>
      <c r="AM74" s="22">
        <v>2</v>
      </c>
      <c r="AN74" s="3">
        <v>3.85</v>
      </c>
      <c r="AO74" s="22">
        <v>19</v>
      </c>
    </row>
    <row r="75" spans="1:41" x14ac:dyDescent="0.35">
      <c r="A75" s="37">
        <v>34</v>
      </c>
      <c r="B75" s="37" t="s">
        <v>63</v>
      </c>
      <c r="C75" s="37" t="s">
        <v>93</v>
      </c>
      <c r="D75" s="38"/>
      <c r="E75" s="38"/>
      <c r="F75" s="38"/>
      <c r="G75" s="38"/>
      <c r="H75" s="38"/>
      <c r="I75" s="38"/>
      <c r="J75" s="39"/>
      <c r="K75" s="62">
        <v>310.76</v>
      </c>
      <c r="L75" s="64"/>
      <c r="M75" s="62"/>
      <c r="N75" s="64"/>
      <c r="O75" s="62">
        <f t="shared" si="2"/>
        <v>62.152000000000001</v>
      </c>
      <c r="P75" s="64"/>
      <c r="Q75" s="138">
        <v>11.36</v>
      </c>
      <c r="R75" s="138"/>
      <c r="S75" s="138"/>
      <c r="T75" s="138">
        <f>2.936+0</f>
        <v>2.9359999999999999</v>
      </c>
      <c r="U75" s="138"/>
      <c r="V75" s="138"/>
      <c r="W75" s="145">
        <f>0.086*(AI75/2.6)</f>
        <v>13.845999999999998</v>
      </c>
      <c r="X75" s="145"/>
      <c r="Y75" s="145"/>
      <c r="Z75" s="138">
        <v>49.073999999999998</v>
      </c>
      <c r="AA75" s="138"/>
      <c r="AB75" s="138"/>
      <c r="AC75" s="138">
        <v>98</v>
      </c>
      <c r="AD75" s="138"/>
      <c r="AE75" s="138"/>
      <c r="AF75" s="138">
        <v>11.723000000000001</v>
      </c>
      <c r="AG75" s="138"/>
      <c r="AH75" s="138"/>
      <c r="AI75" s="138">
        <v>418.6</v>
      </c>
      <c r="AJ75" s="138"/>
      <c r="AK75" s="138">
        <f t="shared" si="3"/>
        <v>28.141999999999996</v>
      </c>
      <c r="AL75" s="138"/>
      <c r="AM75" s="22">
        <v>1</v>
      </c>
      <c r="AN75" s="3">
        <v>3.85</v>
      </c>
      <c r="AO75" s="22">
        <v>20</v>
      </c>
    </row>
    <row r="76" spans="1:41" x14ac:dyDescent="0.35">
      <c r="A76" s="37">
        <v>35</v>
      </c>
      <c r="B76" s="37" t="s">
        <v>63</v>
      </c>
      <c r="C76" s="37" t="s">
        <v>95</v>
      </c>
      <c r="D76" s="38"/>
      <c r="E76" s="38"/>
      <c r="F76" s="38"/>
      <c r="G76" s="38"/>
      <c r="H76" s="38"/>
      <c r="I76" s="38"/>
      <c r="J76" s="39"/>
      <c r="K76" s="62">
        <v>310.76</v>
      </c>
      <c r="L76" s="64"/>
      <c r="M76" s="62"/>
      <c r="N76" s="64"/>
      <c r="O76" s="62">
        <f t="shared" si="2"/>
        <v>62.152000000000001</v>
      </c>
      <c r="P76" s="64"/>
      <c r="Q76" s="138">
        <v>11.36</v>
      </c>
      <c r="R76" s="138"/>
      <c r="S76" s="138"/>
      <c r="T76" s="138">
        <f>2.936+4.396</f>
        <v>7.3319999999999999</v>
      </c>
      <c r="U76" s="138"/>
      <c r="V76" s="138"/>
      <c r="W76" s="138">
        <f>23.05-4.396</f>
        <v>18.654</v>
      </c>
      <c r="X76" s="138"/>
      <c r="Y76" s="138"/>
      <c r="Z76" s="138">
        <v>49.073999999999998</v>
      </c>
      <c r="AA76" s="138"/>
      <c r="AB76" s="138"/>
      <c r="AC76" s="138">
        <v>98</v>
      </c>
      <c r="AD76" s="138"/>
      <c r="AE76" s="138"/>
      <c r="AF76" s="138">
        <v>11.723000000000001</v>
      </c>
      <c r="AG76" s="138"/>
      <c r="AH76" s="138"/>
      <c r="AI76" s="138">
        <v>418.6</v>
      </c>
      <c r="AJ76" s="138"/>
      <c r="AK76" s="138">
        <f t="shared" si="3"/>
        <v>37.346000000000004</v>
      </c>
      <c r="AL76" s="138"/>
      <c r="AM76" s="22">
        <v>2</v>
      </c>
      <c r="AN76" s="3">
        <v>3.85</v>
      </c>
      <c r="AO76" s="22">
        <v>20</v>
      </c>
    </row>
    <row r="77" spans="1:41" x14ac:dyDescent="0.35">
      <c r="A77" s="37">
        <v>36</v>
      </c>
      <c r="B77" s="37" t="s">
        <v>96</v>
      </c>
      <c r="C77" s="37" t="s">
        <v>97</v>
      </c>
      <c r="D77" s="38"/>
      <c r="E77" s="38"/>
      <c r="F77" s="38"/>
      <c r="G77" s="38"/>
      <c r="H77" s="38"/>
      <c r="I77" s="38"/>
      <c r="J77" s="39"/>
      <c r="K77" s="62">
        <v>195.11</v>
      </c>
      <c r="L77" s="64"/>
      <c r="M77" s="62"/>
      <c r="N77" s="64"/>
      <c r="O77" s="62">
        <f t="shared" si="2"/>
        <v>39.022000000000006</v>
      </c>
      <c r="P77" s="64"/>
      <c r="Q77" s="136"/>
      <c r="R77" s="136"/>
      <c r="S77" s="136"/>
      <c r="T77" s="136"/>
      <c r="U77" s="136"/>
      <c r="V77" s="136"/>
      <c r="W77" s="136"/>
      <c r="X77" s="136"/>
      <c r="Y77" s="136"/>
      <c r="Z77" s="138">
        <v>29.398</v>
      </c>
      <c r="AA77" s="138"/>
      <c r="AB77" s="138"/>
      <c r="AC77" s="138">
        <v>97</v>
      </c>
      <c r="AD77" s="138"/>
      <c r="AE77" s="138"/>
      <c r="AF77" s="138">
        <v>7.4669999999999996</v>
      </c>
      <c r="AG77" s="138"/>
      <c r="AH77" s="138"/>
      <c r="AI77" s="138">
        <v>273.2</v>
      </c>
      <c r="AJ77" s="138"/>
      <c r="AK77" s="138">
        <f t="shared" si="3"/>
        <v>0</v>
      </c>
      <c r="AL77" s="138"/>
      <c r="AM77" s="22">
        <v>2</v>
      </c>
      <c r="AN77" s="3">
        <v>4.05</v>
      </c>
      <c r="AO77" s="22">
        <v>22</v>
      </c>
    </row>
    <row r="78" spans="1:41" x14ac:dyDescent="0.35">
      <c r="A78" s="37">
        <v>37</v>
      </c>
      <c r="B78" s="37" t="s">
        <v>96</v>
      </c>
      <c r="C78" s="37" t="s">
        <v>98</v>
      </c>
      <c r="D78" s="38"/>
      <c r="E78" s="38"/>
      <c r="F78" s="38"/>
      <c r="G78" s="38"/>
      <c r="H78" s="38"/>
      <c r="I78" s="38"/>
      <c r="J78" s="39"/>
      <c r="K78" s="62">
        <v>207.14000000000001</v>
      </c>
      <c r="L78" s="64"/>
      <c r="M78" s="62"/>
      <c r="N78" s="64"/>
      <c r="O78" s="62">
        <f t="shared" si="2"/>
        <v>41.428000000000004</v>
      </c>
      <c r="P78" s="64"/>
      <c r="Q78" s="138">
        <v>9.7720000000000002</v>
      </c>
      <c r="R78" s="138"/>
      <c r="S78" s="138"/>
      <c r="T78" s="138">
        <f>2.569+3.398</f>
        <v>5.9670000000000005</v>
      </c>
      <c r="U78" s="138"/>
      <c r="V78" s="138"/>
      <c r="W78" s="138">
        <f>15.24-3.398</f>
        <v>11.842000000000001</v>
      </c>
      <c r="X78" s="138"/>
      <c r="Y78" s="138"/>
      <c r="Z78" s="138">
        <v>33.230000000000004</v>
      </c>
      <c r="AA78" s="138"/>
      <c r="AB78" s="138"/>
      <c r="AC78" s="138">
        <v>85</v>
      </c>
      <c r="AD78" s="138"/>
      <c r="AE78" s="138"/>
      <c r="AF78" s="138">
        <v>6.4109999999999996</v>
      </c>
      <c r="AG78" s="138"/>
      <c r="AH78" s="138"/>
      <c r="AI78" s="138">
        <v>272</v>
      </c>
      <c r="AJ78" s="138"/>
      <c r="AK78" s="138">
        <f t="shared" si="3"/>
        <v>27.581000000000003</v>
      </c>
      <c r="AL78" s="138"/>
      <c r="AM78" s="22">
        <v>2</v>
      </c>
      <c r="AN78" s="3">
        <v>4.05</v>
      </c>
      <c r="AO78" s="22">
        <v>21</v>
      </c>
    </row>
    <row r="79" spans="1:41" x14ac:dyDescent="0.35">
      <c r="A79" s="37">
        <v>38</v>
      </c>
      <c r="B79" s="37" t="s">
        <v>96</v>
      </c>
      <c r="C79" s="37" t="s">
        <v>99</v>
      </c>
      <c r="D79" s="38"/>
      <c r="E79" s="38"/>
      <c r="F79" s="38"/>
      <c r="G79" s="38"/>
      <c r="H79" s="38"/>
      <c r="I79" s="38"/>
      <c r="J79" s="39"/>
      <c r="K79" s="62">
        <v>183.08</v>
      </c>
      <c r="L79" s="64"/>
      <c r="M79" s="62"/>
      <c r="N79" s="64"/>
      <c r="O79" s="62">
        <f t="shared" si="2"/>
        <v>36.616000000000007</v>
      </c>
      <c r="P79" s="64"/>
      <c r="Q79" s="136"/>
      <c r="R79" s="136"/>
      <c r="S79" s="136"/>
      <c r="T79" s="136"/>
      <c r="U79" s="136"/>
      <c r="V79" s="136"/>
      <c r="W79" s="136"/>
      <c r="X79" s="136"/>
      <c r="Y79" s="136"/>
      <c r="Z79" s="138">
        <v>31.314</v>
      </c>
      <c r="AA79" s="138"/>
      <c r="AB79" s="138"/>
      <c r="AC79" s="138">
        <v>91</v>
      </c>
      <c r="AD79" s="138"/>
      <c r="AE79" s="138"/>
      <c r="AF79" s="138">
        <v>6.4109999999999996</v>
      </c>
      <c r="AG79" s="138"/>
      <c r="AH79" s="138"/>
      <c r="AI79" s="138">
        <v>269.3</v>
      </c>
      <c r="AJ79" s="138"/>
      <c r="AK79" s="138">
        <f t="shared" si="3"/>
        <v>0</v>
      </c>
      <c r="AL79" s="138"/>
      <c r="AM79" s="22">
        <v>2</v>
      </c>
      <c r="AN79" s="3">
        <v>3.9</v>
      </c>
      <c r="AO79" s="22">
        <v>23</v>
      </c>
    </row>
    <row r="80" spans="1:41" x14ac:dyDescent="0.35">
      <c r="A80" s="37">
        <v>39</v>
      </c>
      <c r="B80" s="37" t="s">
        <v>96</v>
      </c>
      <c r="C80" s="37" t="s">
        <v>100</v>
      </c>
      <c r="D80" s="38"/>
      <c r="E80" s="38"/>
      <c r="F80" s="38"/>
      <c r="G80" s="38"/>
      <c r="H80" s="38"/>
      <c r="I80" s="38"/>
      <c r="J80" s="39"/>
      <c r="K80" s="62">
        <v>259.95999999999998</v>
      </c>
      <c r="L80" s="64"/>
      <c r="M80" s="62"/>
      <c r="N80" s="64"/>
      <c r="O80" s="62">
        <f t="shared" si="2"/>
        <v>51.991999999999997</v>
      </c>
      <c r="P80" s="64"/>
      <c r="Q80" s="138">
        <v>16.542000000000002</v>
      </c>
      <c r="R80" s="138"/>
      <c r="S80" s="138"/>
      <c r="T80" s="138">
        <f>4.177+4.398</f>
        <v>8.5749999999999993</v>
      </c>
      <c r="U80" s="138"/>
      <c r="V80" s="138"/>
      <c r="W80" s="138">
        <f>20.24-4.398</f>
        <v>15.841999999999999</v>
      </c>
      <c r="X80" s="138"/>
      <c r="Y80" s="138"/>
      <c r="Z80" s="138">
        <v>44.308</v>
      </c>
      <c r="AA80" s="138"/>
      <c r="AB80" s="138"/>
      <c r="AC80" s="138">
        <v>140</v>
      </c>
      <c r="AD80" s="138"/>
      <c r="AE80" s="138"/>
      <c r="AF80" s="138">
        <v>3</v>
      </c>
      <c r="AG80" s="138"/>
      <c r="AH80" s="138"/>
      <c r="AI80" s="138">
        <v>366.6</v>
      </c>
      <c r="AJ80" s="138"/>
      <c r="AK80" s="138">
        <f t="shared" si="3"/>
        <v>40.959000000000003</v>
      </c>
      <c r="AL80" s="138"/>
      <c r="AM80" s="22">
        <v>2</v>
      </c>
      <c r="AN80" s="3">
        <v>3.9</v>
      </c>
      <c r="AO80" s="22">
        <v>24</v>
      </c>
    </row>
    <row r="81" spans="1:41" x14ac:dyDescent="0.35">
      <c r="A81" s="37">
        <v>40</v>
      </c>
      <c r="B81" s="37" t="s">
        <v>101</v>
      </c>
      <c r="C81" s="37" t="s">
        <v>102</v>
      </c>
      <c r="D81" s="38"/>
      <c r="E81" s="38"/>
      <c r="F81" s="38"/>
      <c r="G81" s="38"/>
      <c r="H81" s="38"/>
      <c r="I81" s="38"/>
      <c r="J81" s="39"/>
      <c r="K81" s="62">
        <v>198.27</v>
      </c>
      <c r="L81" s="64"/>
      <c r="M81" s="62"/>
      <c r="N81" s="64"/>
      <c r="O81" s="62">
        <f t="shared" si="2"/>
        <v>39.654000000000003</v>
      </c>
      <c r="P81" s="64"/>
      <c r="Q81" s="136"/>
      <c r="R81" s="136"/>
      <c r="S81" s="136"/>
      <c r="T81" s="136"/>
      <c r="U81" s="136"/>
      <c r="V81" s="136"/>
      <c r="W81" s="136"/>
      <c r="X81" s="136"/>
      <c r="Y81" s="136"/>
      <c r="Z81" s="138">
        <v>29.398</v>
      </c>
      <c r="AA81" s="138"/>
      <c r="AB81" s="138"/>
      <c r="AC81" s="138">
        <v>115</v>
      </c>
      <c r="AD81" s="138"/>
      <c r="AE81" s="138"/>
      <c r="AF81" s="138">
        <v>1.2650000000000001</v>
      </c>
      <c r="AG81" s="138"/>
      <c r="AH81" s="138"/>
      <c r="AI81" s="138">
        <v>277.60000000000002</v>
      </c>
      <c r="AJ81" s="138"/>
      <c r="AK81" s="138">
        <f t="shared" si="3"/>
        <v>0</v>
      </c>
      <c r="AL81" s="138"/>
      <c r="AM81" s="22">
        <v>2</v>
      </c>
      <c r="AN81" s="3">
        <v>3.9</v>
      </c>
      <c r="AO81" s="22">
        <v>26</v>
      </c>
    </row>
    <row r="82" spans="1:41" x14ac:dyDescent="0.35">
      <c r="A82" s="37">
        <v>41</v>
      </c>
      <c r="B82" s="37" t="s">
        <v>101</v>
      </c>
      <c r="C82" s="37" t="s">
        <v>103</v>
      </c>
      <c r="D82" s="38"/>
      <c r="E82" s="38"/>
      <c r="F82" s="38"/>
      <c r="G82" s="38"/>
      <c r="H82" s="38"/>
      <c r="I82" s="38"/>
      <c r="J82" s="39"/>
      <c r="K82" s="62">
        <v>210.3</v>
      </c>
      <c r="L82" s="64"/>
      <c r="M82" s="62"/>
      <c r="N82" s="64"/>
      <c r="O82" s="62">
        <f t="shared" si="2"/>
        <v>42.06</v>
      </c>
      <c r="P82" s="64"/>
      <c r="Q82" s="138">
        <v>11.473000000000001</v>
      </c>
      <c r="R82" s="138"/>
      <c r="S82" s="138"/>
      <c r="T82" s="138">
        <f>2.898+3.911</f>
        <v>6.8090000000000002</v>
      </c>
      <c r="U82" s="138"/>
      <c r="V82" s="138"/>
      <c r="W82" s="138">
        <f>15.76-3.918</f>
        <v>11.841999999999999</v>
      </c>
      <c r="X82" s="138"/>
      <c r="Y82" s="138"/>
      <c r="Z82" s="138">
        <v>33.230000000000004</v>
      </c>
      <c r="AA82" s="138"/>
      <c r="AB82" s="138"/>
      <c r="AC82" s="138">
        <v>104</v>
      </c>
      <c r="AD82" s="138"/>
      <c r="AE82" s="138"/>
      <c r="AF82" s="138">
        <v>6.4109999999999996</v>
      </c>
      <c r="AG82" s="138"/>
      <c r="AH82" s="138"/>
      <c r="AI82" s="138">
        <v>276.2</v>
      </c>
      <c r="AJ82" s="138"/>
      <c r="AK82" s="138">
        <f t="shared" si="3"/>
        <v>30.123999999999999</v>
      </c>
      <c r="AL82" s="138"/>
      <c r="AM82" s="22">
        <v>2</v>
      </c>
      <c r="AN82" s="3">
        <v>3.9</v>
      </c>
      <c r="AO82" s="22">
        <v>25</v>
      </c>
    </row>
    <row r="83" spans="1:41" x14ac:dyDescent="0.35">
      <c r="A83" s="37">
        <v>42</v>
      </c>
      <c r="B83" s="37" t="s">
        <v>101</v>
      </c>
      <c r="C83" s="37" t="s">
        <v>104</v>
      </c>
      <c r="D83" s="38"/>
      <c r="E83" s="38"/>
      <c r="F83" s="38"/>
      <c r="G83" s="38"/>
      <c r="H83" s="38"/>
      <c r="I83" s="38"/>
      <c r="J83" s="39"/>
      <c r="K83" s="62">
        <v>186.24</v>
      </c>
      <c r="L83" s="64"/>
      <c r="M83" s="62"/>
      <c r="N83" s="64"/>
      <c r="O83" s="62">
        <f t="shared" si="2"/>
        <v>37.248000000000005</v>
      </c>
      <c r="P83" s="64"/>
      <c r="Q83" s="136"/>
      <c r="R83" s="136"/>
      <c r="S83" s="136"/>
      <c r="T83" s="136"/>
      <c r="U83" s="136"/>
      <c r="V83" s="136"/>
      <c r="W83" s="136"/>
      <c r="X83" s="136"/>
      <c r="Y83" s="136"/>
      <c r="Z83" s="136"/>
      <c r="AA83" s="136"/>
      <c r="AB83" s="136"/>
      <c r="AC83" s="136"/>
      <c r="AD83" s="136"/>
      <c r="AE83" s="136"/>
      <c r="AF83" s="136"/>
      <c r="AG83" s="136"/>
      <c r="AH83" s="136"/>
      <c r="AI83" s="136"/>
      <c r="AJ83" s="136"/>
      <c r="AK83" s="136">
        <f t="shared" si="3"/>
        <v>0</v>
      </c>
      <c r="AL83" s="136"/>
      <c r="AM83" s="22">
        <v>2</v>
      </c>
      <c r="AN83" s="3">
        <v>4.05</v>
      </c>
      <c r="AO83" s="22">
        <v>27</v>
      </c>
    </row>
    <row r="84" spans="1:41" x14ac:dyDescent="0.35">
      <c r="A84" s="37">
        <v>43</v>
      </c>
      <c r="B84" s="37" t="s">
        <v>101</v>
      </c>
      <c r="C84" s="37" t="s">
        <v>105</v>
      </c>
      <c r="D84" s="38"/>
      <c r="E84" s="38"/>
      <c r="F84" s="38"/>
      <c r="G84" s="38"/>
      <c r="H84" s="38"/>
      <c r="I84" s="38"/>
      <c r="J84" s="39"/>
      <c r="K84" s="62">
        <v>297.42</v>
      </c>
      <c r="L84" s="64"/>
      <c r="M84" s="62"/>
      <c r="N84" s="64"/>
      <c r="O84" s="62">
        <f t="shared" si="2"/>
        <v>59.484000000000009</v>
      </c>
      <c r="P84" s="64"/>
      <c r="Q84" s="153">
        <v>22.372</v>
      </c>
      <c r="R84" s="153"/>
      <c r="S84" s="153"/>
      <c r="T84" s="153">
        <f>6.304+5.867</f>
        <v>12.170999999999999</v>
      </c>
      <c r="U84" s="153"/>
      <c r="V84" s="153"/>
      <c r="W84" s="153">
        <f>23.43-5.867</f>
        <v>17.562999999999999</v>
      </c>
      <c r="X84" s="153"/>
      <c r="Y84" s="153"/>
      <c r="Z84" s="153">
        <v>55.386000000000003</v>
      </c>
      <c r="AA84" s="153"/>
      <c r="AB84" s="153"/>
      <c r="AC84" s="153">
        <v>213</v>
      </c>
      <c r="AD84" s="153"/>
      <c r="AE84" s="153"/>
      <c r="AF84" s="153">
        <v>11.077999999999999</v>
      </c>
      <c r="AG84" s="153"/>
      <c r="AH84" s="153"/>
      <c r="AI84" s="153">
        <v>447</v>
      </c>
      <c r="AJ84" s="153"/>
      <c r="AK84" s="138">
        <f t="shared" si="3"/>
        <v>52.105999999999995</v>
      </c>
      <c r="AL84" s="138"/>
      <c r="AM84" s="22">
        <v>2</v>
      </c>
      <c r="AN84" s="3">
        <v>4.7</v>
      </c>
      <c r="AO84" s="22">
        <v>28</v>
      </c>
    </row>
    <row r="85" spans="1:41" x14ac:dyDescent="0.35">
      <c r="A85" s="37">
        <v>44</v>
      </c>
      <c r="B85" s="37" t="s">
        <v>4</v>
      </c>
      <c r="C85" s="37" t="s">
        <v>106</v>
      </c>
      <c r="D85" s="38"/>
      <c r="E85" s="38"/>
      <c r="F85" s="38"/>
      <c r="G85" s="38"/>
      <c r="H85" s="38"/>
      <c r="I85" s="38"/>
      <c r="J85" s="39"/>
      <c r="K85" s="62">
        <v>129.36000000000001</v>
      </c>
      <c r="L85" s="64"/>
      <c r="M85" s="62"/>
      <c r="N85" s="64"/>
      <c r="O85" s="62">
        <f t="shared" si="2"/>
        <v>25.872000000000003</v>
      </c>
      <c r="P85" s="64"/>
      <c r="Q85" s="145">
        <v>6.95</v>
      </c>
      <c r="R85" s="145"/>
      <c r="S85" s="145"/>
      <c r="T85" s="145">
        <f>0.34+0</f>
        <v>0.34</v>
      </c>
      <c r="U85" s="145"/>
      <c r="V85" s="145"/>
      <c r="W85" s="145">
        <f>0.086*(AI85/2.6)</f>
        <v>6.344153846153846</v>
      </c>
      <c r="X85" s="145"/>
      <c r="Y85" s="145"/>
      <c r="Z85" s="145">
        <v>25.86</v>
      </c>
      <c r="AA85" s="145"/>
      <c r="AB85" s="145"/>
      <c r="AC85" s="145">
        <v>59</v>
      </c>
      <c r="AD85" s="145"/>
      <c r="AE85" s="145"/>
      <c r="AF85" s="145">
        <v>6.48</v>
      </c>
      <c r="AG85" s="145"/>
      <c r="AH85" s="145"/>
      <c r="AI85" s="145">
        <v>191.8</v>
      </c>
      <c r="AJ85" s="145"/>
      <c r="AK85" s="138">
        <f t="shared" si="3"/>
        <v>13.634153846153847</v>
      </c>
      <c r="AL85" s="138"/>
      <c r="AM85" s="22">
        <v>1</v>
      </c>
      <c r="AO85" s="22">
        <v>29</v>
      </c>
    </row>
    <row r="86" spans="1:41" x14ac:dyDescent="0.35">
      <c r="A86" s="37">
        <v>45</v>
      </c>
      <c r="B86" s="37" t="s">
        <v>4</v>
      </c>
      <c r="C86" s="37" t="s">
        <v>107</v>
      </c>
      <c r="D86" s="38"/>
      <c r="E86" s="38"/>
      <c r="F86" s="38"/>
      <c r="G86" s="38"/>
      <c r="H86" s="38"/>
      <c r="I86" s="38"/>
      <c r="J86" s="39"/>
      <c r="K86" s="62">
        <v>129.36000000000001</v>
      </c>
      <c r="L86" s="64"/>
      <c r="M86" s="62"/>
      <c r="N86" s="64"/>
      <c r="O86" s="62">
        <f t="shared" si="2"/>
        <v>25.872000000000003</v>
      </c>
      <c r="P86" s="64"/>
      <c r="Q86" s="138">
        <v>6.95</v>
      </c>
      <c r="R86" s="138"/>
      <c r="S86" s="138"/>
      <c r="T86" s="138">
        <f>0.34+2.17</f>
        <v>2.5099999999999998</v>
      </c>
      <c r="U86" s="138"/>
      <c r="V86" s="138"/>
      <c r="W86" s="153">
        <f>9.81-2.17</f>
        <v>7.6400000000000006</v>
      </c>
      <c r="X86" s="153"/>
      <c r="Y86" s="153"/>
      <c r="Z86" s="138">
        <v>25.86</v>
      </c>
      <c r="AA86" s="138"/>
      <c r="AB86" s="138"/>
      <c r="AC86" s="138">
        <v>59</v>
      </c>
      <c r="AD86" s="138"/>
      <c r="AE86" s="138"/>
      <c r="AF86" s="138">
        <v>6.48</v>
      </c>
      <c r="AG86" s="138"/>
      <c r="AH86" s="138"/>
      <c r="AI86" s="138">
        <v>191.8</v>
      </c>
      <c r="AJ86" s="138"/>
      <c r="AK86" s="138">
        <f t="shared" si="3"/>
        <v>17.100000000000001</v>
      </c>
      <c r="AL86" s="138"/>
      <c r="AM86" s="22">
        <v>2</v>
      </c>
      <c r="AO86" s="22">
        <v>29</v>
      </c>
    </row>
    <row r="87" spans="1:41" x14ac:dyDescent="0.35">
      <c r="A87" s="37">
        <v>46</v>
      </c>
      <c r="B87" s="37" t="s">
        <v>4</v>
      </c>
      <c r="C87" s="37" t="s">
        <v>108</v>
      </c>
      <c r="D87" s="38"/>
      <c r="E87" s="38"/>
      <c r="F87" s="38"/>
      <c r="G87" s="38"/>
      <c r="H87" s="38"/>
      <c r="I87" s="38"/>
      <c r="J87" s="39"/>
      <c r="K87" s="62">
        <v>141.06</v>
      </c>
      <c r="L87" s="64"/>
      <c r="M87" s="62"/>
      <c r="N87" s="64"/>
      <c r="O87" s="62">
        <f t="shared" si="2"/>
        <v>28.212000000000003</v>
      </c>
      <c r="P87" s="64"/>
      <c r="Q87" s="138">
        <v>7.59</v>
      </c>
      <c r="R87" s="138"/>
      <c r="S87" s="138"/>
      <c r="T87" s="138">
        <f>0.35+0</f>
        <v>0.35</v>
      </c>
      <c r="U87" s="138"/>
      <c r="V87" s="138"/>
      <c r="W87" s="145">
        <f>0.086*(AI87/2.6)</f>
        <v>6.7873846153846156</v>
      </c>
      <c r="X87" s="145"/>
      <c r="Y87" s="145"/>
      <c r="Z87" s="138">
        <v>27.14</v>
      </c>
      <c r="AA87" s="138"/>
      <c r="AB87" s="138"/>
      <c r="AC87" s="138">
        <v>59</v>
      </c>
      <c r="AD87" s="138"/>
      <c r="AE87" s="138"/>
      <c r="AF87" s="138">
        <v>7.07</v>
      </c>
      <c r="AG87" s="138"/>
      <c r="AH87" s="138"/>
      <c r="AI87" s="138">
        <v>205.20000000000002</v>
      </c>
      <c r="AJ87" s="138"/>
      <c r="AK87" s="138">
        <f t="shared" si="3"/>
        <v>14.727384615384615</v>
      </c>
      <c r="AL87" s="138"/>
      <c r="AM87" s="22">
        <v>1</v>
      </c>
      <c r="AO87" s="22">
        <v>30</v>
      </c>
    </row>
    <row r="88" spans="1:41" x14ac:dyDescent="0.35">
      <c r="A88" s="37">
        <v>47</v>
      </c>
      <c r="B88" s="37" t="s">
        <v>4</v>
      </c>
      <c r="C88" s="37" t="s">
        <v>109</v>
      </c>
      <c r="D88" s="38"/>
      <c r="E88" s="38"/>
      <c r="F88" s="38"/>
      <c r="G88" s="38"/>
      <c r="H88" s="38"/>
      <c r="I88" s="38"/>
      <c r="J88" s="39"/>
      <c r="K88" s="62">
        <v>141.06</v>
      </c>
      <c r="L88" s="64"/>
      <c r="M88" s="62"/>
      <c r="N88" s="64"/>
      <c r="O88" s="62">
        <f t="shared" si="2"/>
        <v>28.212000000000003</v>
      </c>
      <c r="P88" s="64"/>
      <c r="Q88" s="138">
        <v>7.59</v>
      </c>
      <c r="R88" s="138"/>
      <c r="S88" s="138"/>
      <c r="T88" s="138">
        <f>0.35+2.59</f>
        <v>2.94</v>
      </c>
      <c r="U88" s="138"/>
      <c r="V88" s="138"/>
      <c r="W88" s="153">
        <f>35.93-2.59</f>
        <v>33.340000000000003</v>
      </c>
      <c r="X88" s="153"/>
      <c r="Y88" s="153"/>
      <c r="Z88" s="138">
        <v>27.14</v>
      </c>
      <c r="AA88" s="138"/>
      <c r="AB88" s="138"/>
      <c r="AC88" s="138">
        <v>53</v>
      </c>
      <c r="AD88" s="138"/>
      <c r="AE88" s="138"/>
      <c r="AF88" s="138">
        <v>7.0650000000000004</v>
      </c>
      <c r="AG88" s="138"/>
      <c r="AH88" s="138"/>
      <c r="AI88" s="138">
        <v>205.20000000000002</v>
      </c>
      <c r="AJ88" s="138"/>
      <c r="AK88" s="138">
        <f t="shared" si="3"/>
        <v>43.870000000000005</v>
      </c>
      <c r="AL88" s="138"/>
      <c r="AM88" s="22">
        <v>3</v>
      </c>
      <c r="AO88" s="22">
        <v>30</v>
      </c>
    </row>
    <row r="89" spans="1:41" x14ac:dyDescent="0.35">
      <c r="A89" s="37">
        <v>48</v>
      </c>
      <c r="B89" s="37" t="s">
        <v>4</v>
      </c>
      <c r="C89" s="37" t="s">
        <v>110</v>
      </c>
      <c r="D89" s="38"/>
      <c r="E89" s="38"/>
      <c r="F89" s="38"/>
      <c r="G89" s="38"/>
      <c r="H89" s="38"/>
      <c r="I89" s="38"/>
      <c r="J89" s="39"/>
      <c r="K89" s="62">
        <v>141.06</v>
      </c>
      <c r="L89" s="64"/>
      <c r="M89" s="62"/>
      <c r="N89" s="64"/>
      <c r="O89" s="62">
        <f t="shared" si="2"/>
        <v>28.212000000000003</v>
      </c>
      <c r="P89" s="64"/>
      <c r="Q89" s="138">
        <v>7.59</v>
      </c>
      <c r="R89" s="138"/>
      <c r="S89" s="138"/>
      <c r="T89" s="138">
        <f>0.35+2.25</f>
        <v>2.6</v>
      </c>
      <c r="U89" s="138"/>
      <c r="V89" s="138"/>
      <c r="W89" s="153">
        <f>10.42-2.25</f>
        <v>8.17</v>
      </c>
      <c r="X89" s="153"/>
      <c r="Y89" s="153"/>
      <c r="Z89" s="138">
        <v>27.14</v>
      </c>
      <c r="AA89" s="138"/>
      <c r="AB89" s="138"/>
      <c r="AC89" s="138">
        <v>53</v>
      </c>
      <c r="AD89" s="138"/>
      <c r="AE89" s="138"/>
      <c r="AF89" s="138">
        <v>7.07</v>
      </c>
      <c r="AG89" s="138"/>
      <c r="AH89" s="138"/>
      <c r="AI89" s="138">
        <v>205.20000000000002</v>
      </c>
      <c r="AJ89" s="138"/>
      <c r="AK89" s="138">
        <f t="shared" si="3"/>
        <v>18.36</v>
      </c>
      <c r="AL89" s="138"/>
      <c r="AM89" s="22">
        <v>2</v>
      </c>
      <c r="AO89" s="22">
        <v>30</v>
      </c>
    </row>
    <row r="90" spans="1:41" x14ac:dyDescent="0.35">
      <c r="A90" s="37">
        <v>49</v>
      </c>
      <c r="B90" s="37" t="s">
        <v>18</v>
      </c>
      <c r="C90" s="37" t="s">
        <v>111</v>
      </c>
      <c r="D90" s="38"/>
      <c r="E90" s="38"/>
      <c r="F90" s="38"/>
      <c r="G90" s="38"/>
      <c r="H90" s="38"/>
      <c r="I90" s="38"/>
      <c r="J90" s="39"/>
      <c r="K90" s="62">
        <v>96.88</v>
      </c>
      <c r="L90" s="64"/>
      <c r="M90" s="62"/>
      <c r="N90" s="64"/>
      <c r="O90" s="62">
        <f t="shared" si="2"/>
        <v>19.376000000000001</v>
      </c>
      <c r="P90" s="64"/>
      <c r="Q90" s="138">
        <v>6.58</v>
      </c>
      <c r="R90" s="138"/>
      <c r="S90" s="138"/>
      <c r="T90" s="138">
        <v>1.9100000000000001</v>
      </c>
      <c r="U90" s="138"/>
      <c r="V90" s="138"/>
      <c r="W90" s="145">
        <f>0.086*(AI90/2.6)</f>
        <v>4.8193076923076923</v>
      </c>
      <c r="X90" s="145"/>
      <c r="Y90" s="145"/>
      <c r="Z90" s="138">
        <v>22.1</v>
      </c>
      <c r="AA90" s="138"/>
      <c r="AB90" s="138"/>
      <c r="AC90" s="138">
        <v>43</v>
      </c>
      <c r="AD90" s="138"/>
      <c r="AE90" s="138"/>
      <c r="AF90" s="138">
        <v>2.4</v>
      </c>
      <c r="AG90" s="138"/>
      <c r="AH90" s="138"/>
      <c r="AI90" s="138">
        <v>145.70000000000002</v>
      </c>
      <c r="AJ90" s="138"/>
      <c r="AK90" s="138">
        <f t="shared" si="3"/>
        <v>13.309307692307693</v>
      </c>
      <c r="AL90" s="138"/>
      <c r="AM90" s="22">
        <v>1</v>
      </c>
      <c r="AO90" s="22">
        <v>31</v>
      </c>
    </row>
    <row r="91" spans="1:41" x14ac:dyDescent="0.35">
      <c r="A91" s="37">
        <v>50</v>
      </c>
      <c r="B91" s="37" t="s">
        <v>18</v>
      </c>
      <c r="C91" s="37" t="s">
        <v>112</v>
      </c>
      <c r="D91" s="38"/>
      <c r="E91" s="38"/>
      <c r="F91" s="38"/>
      <c r="G91" s="38"/>
      <c r="H91" s="38"/>
      <c r="I91" s="38"/>
      <c r="J91" s="39"/>
      <c r="K91" s="62">
        <v>96.88</v>
      </c>
      <c r="L91" s="64"/>
      <c r="M91" s="62"/>
      <c r="N91" s="64"/>
      <c r="O91" s="62">
        <f t="shared" si="2"/>
        <v>19.376000000000001</v>
      </c>
      <c r="P91" s="64"/>
      <c r="Q91" s="138">
        <v>6.58</v>
      </c>
      <c r="R91" s="138"/>
      <c r="S91" s="138"/>
      <c r="T91" s="138">
        <f>0.26+1.65</f>
        <v>1.91</v>
      </c>
      <c r="U91" s="138"/>
      <c r="V91" s="138"/>
      <c r="W91" s="138">
        <f>7.5-1.65</f>
        <v>5.85</v>
      </c>
      <c r="X91" s="138"/>
      <c r="Y91" s="138"/>
      <c r="Z91" s="138">
        <v>22.1</v>
      </c>
      <c r="AA91" s="138"/>
      <c r="AB91" s="138"/>
      <c r="AC91" s="138">
        <v>43</v>
      </c>
      <c r="AD91" s="138"/>
      <c r="AE91" s="138"/>
      <c r="AF91" s="138">
        <v>2.4</v>
      </c>
      <c r="AG91" s="138"/>
      <c r="AH91" s="138"/>
      <c r="AI91" s="138">
        <v>145.70000000000002</v>
      </c>
      <c r="AJ91" s="138"/>
      <c r="AK91" s="138">
        <f t="shared" si="3"/>
        <v>14.34</v>
      </c>
      <c r="AL91" s="138"/>
      <c r="AM91" s="22">
        <v>2</v>
      </c>
      <c r="AO91" s="22">
        <v>31</v>
      </c>
    </row>
    <row r="92" spans="1:41" x14ac:dyDescent="0.35">
      <c r="A92" s="37">
        <v>51</v>
      </c>
      <c r="B92" s="37" t="s">
        <v>4</v>
      </c>
      <c r="C92" s="37" t="s">
        <v>113</v>
      </c>
      <c r="D92" s="38"/>
      <c r="E92" s="38"/>
      <c r="F92" s="38"/>
      <c r="G92" s="38"/>
      <c r="H92" s="38"/>
      <c r="I92" s="38"/>
      <c r="J92" s="39"/>
      <c r="K92" s="62">
        <v>161.43</v>
      </c>
      <c r="L92" s="64"/>
      <c r="M92" s="62"/>
      <c r="N92" s="64"/>
      <c r="O92" s="62">
        <f t="shared" si="2"/>
        <v>32.286000000000001</v>
      </c>
      <c r="P92" s="64"/>
      <c r="Q92" s="138">
        <v>8.69</v>
      </c>
      <c r="R92" s="138"/>
      <c r="S92" s="138"/>
      <c r="T92" s="138">
        <f>0.42+3.04</f>
        <v>3.46</v>
      </c>
      <c r="U92" s="138"/>
      <c r="V92" s="138"/>
      <c r="W92" s="138">
        <f>41.33-3.04</f>
        <v>38.29</v>
      </c>
      <c r="X92" s="138"/>
      <c r="Y92" s="138"/>
      <c r="Z92" s="138">
        <v>33.230000000000004</v>
      </c>
      <c r="AA92" s="138"/>
      <c r="AB92" s="138"/>
      <c r="AC92" s="138">
        <v>65</v>
      </c>
      <c r="AD92" s="138"/>
      <c r="AE92" s="138"/>
      <c r="AF92" s="138">
        <v>7.69</v>
      </c>
      <c r="AG92" s="138"/>
      <c r="AH92" s="138"/>
      <c r="AI92" s="138">
        <v>235.6</v>
      </c>
      <c r="AJ92" s="138"/>
      <c r="AK92" s="138">
        <f t="shared" si="3"/>
        <v>50.44</v>
      </c>
      <c r="AL92" s="138"/>
      <c r="AM92" s="22">
        <v>3</v>
      </c>
      <c r="AO92" s="22">
        <v>32</v>
      </c>
    </row>
    <row r="93" spans="1:41" x14ac:dyDescent="0.35">
      <c r="A93" s="37">
        <v>52</v>
      </c>
      <c r="B93" s="37" t="s">
        <v>4</v>
      </c>
      <c r="C93" s="37" t="s">
        <v>114</v>
      </c>
      <c r="D93" s="38"/>
      <c r="E93" s="38"/>
      <c r="F93" s="38"/>
      <c r="G93" s="38"/>
      <c r="H93" s="38"/>
      <c r="I93" s="38"/>
      <c r="J93" s="39"/>
      <c r="K93" s="62">
        <v>161.43</v>
      </c>
      <c r="L93" s="64"/>
      <c r="M93" s="62"/>
      <c r="N93" s="64"/>
      <c r="O93" s="62">
        <f t="shared" si="2"/>
        <v>32.286000000000001</v>
      </c>
      <c r="P93" s="64"/>
      <c r="Q93" s="138">
        <v>8.69</v>
      </c>
      <c r="R93" s="138"/>
      <c r="S93" s="138"/>
      <c r="T93" s="138">
        <f>0.42+2.64</f>
        <v>3.06</v>
      </c>
      <c r="U93" s="138"/>
      <c r="V93" s="138"/>
      <c r="W93" s="138">
        <f>11.99-2.64</f>
        <v>9.35</v>
      </c>
      <c r="X93" s="138"/>
      <c r="Y93" s="138"/>
      <c r="Z93" s="138">
        <v>33.230000000000004</v>
      </c>
      <c r="AA93" s="138"/>
      <c r="AB93" s="138"/>
      <c r="AC93" s="138">
        <v>65</v>
      </c>
      <c r="AD93" s="138"/>
      <c r="AE93" s="138"/>
      <c r="AF93" s="138">
        <v>7.69</v>
      </c>
      <c r="AG93" s="138"/>
      <c r="AH93" s="138"/>
      <c r="AI93" s="138">
        <v>235.6</v>
      </c>
      <c r="AJ93" s="138"/>
      <c r="AK93" s="138">
        <f t="shared" si="3"/>
        <v>21.1</v>
      </c>
      <c r="AL93" s="138"/>
      <c r="AM93" s="22">
        <v>2</v>
      </c>
      <c r="AO93" s="22">
        <v>32</v>
      </c>
    </row>
    <row r="94" spans="1:41" x14ac:dyDescent="0.35">
      <c r="A94" s="37">
        <v>53</v>
      </c>
      <c r="B94" s="37" t="s">
        <v>4</v>
      </c>
      <c r="C94" s="37" t="s">
        <v>115</v>
      </c>
      <c r="D94" s="38"/>
      <c r="E94" s="38"/>
      <c r="F94" s="38"/>
      <c r="G94" s="38"/>
      <c r="H94" s="38"/>
      <c r="I94" s="38"/>
      <c r="J94" s="39"/>
      <c r="K94" s="62">
        <v>194.61</v>
      </c>
      <c r="L94" s="64"/>
      <c r="M94" s="62"/>
      <c r="N94" s="64"/>
      <c r="O94" s="62">
        <f t="shared" si="2"/>
        <v>38.922000000000004</v>
      </c>
      <c r="P94" s="64"/>
      <c r="Q94" s="138">
        <v>9.85</v>
      </c>
      <c r="R94" s="138"/>
      <c r="S94" s="138"/>
      <c r="T94" s="138">
        <f>0.47+3.58</f>
        <v>4.05</v>
      </c>
      <c r="U94" s="138"/>
      <c r="V94" s="138"/>
      <c r="W94" s="138">
        <f>50.15-3.58</f>
        <v>46.57</v>
      </c>
      <c r="X94" s="138"/>
      <c r="Y94" s="138"/>
      <c r="Z94" s="138">
        <v>37.81</v>
      </c>
      <c r="AA94" s="138"/>
      <c r="AB94" s="138"/>
      <c r="AC94" s="138">
        <v>74</v>
      </c>
      <c r="AD94" s="138"/>
      <c r="AE94" s="138"/>
      <c r="AF94" s="138">
        <v>9.48</v>
      </c>
      <c r="AG94" s="138"/>
      <c r="AH94" s="138"/>
      <c r="AI94" s="138">
        <v>286.60000000000002</v>
      </c>
      <c r="AJ94" s="138"/>
      <c r="AK94" s="138">
        <f t="shared" si="3"/>
        <v>60.47</v>
      </c>
      <c r="AL94" s="138"/>
      <c r="AM94" s="22">
        <v>3</v>
      </c>
      <c r="AO94" s="22">
        <v>34</v>
      </c>
    </row>
    <row r="95" spans="1:41" x14ac:dyDescent="0.35">
      <c r="A95" s="37">
        <v>54</v>
      </c>
      <c r="B95" s="37" t="s">
        <v>4</v>
      </c>
      <c r="C95" s="37" t="s">
        <v>116</v>
      </c>
      <c r="D95" s="38"/>
      <c r="E95" s="38"/>
      <c r="F95" s="38"/>
      <c r="G95" s="38"/>
      <c r="H95" s="38"/>
      <c r="I95" s="38"/>
      <c r="J95" s="39"/>
      <c r="K95" s="62">
        <v>194.61</v>
      </c>
      <c r="L95" s="64"/>
      <c r="M95" s="62"/>
      <c r="N95" s="64"/>
      <c r="O95" s="62">
        <f t="shared" si="2"/>
        <v>38.922000000000004</v>
      </c>
      <c r="P95" s="64"/>
      <c r="Q95" s="138">
        <v>9.85</v>
      </c>
      <c r="R95" s="138"/>
      <c r="S95" s="138"/>
      <c r="T95" s="138">
        <f>0.47+3.11</f>
        <v>3.58</v>
      </c>
      <c r="U95" s="138"/>
      <c r="V95" s="138"/>
      <c r="W95" s="138">
        <f>14.43-3.11</f>
        <v>11.32</v>
      </c>
      <c r="X95" s="138"/>
      <c r="Y95" s="138"/>
      <c r="Z95" s="138">
        <v>37.81</v>
      </c>
      <c r="AA95" s="138"/>
      <c r="AB95" s="138"/>
      <c r="AC95" s="138">
        <v>74</v>
      </c>
      <c r="AD95" s="138"/>
      <c r="AE95" s="138"/>
      <c r="AF95" s="138">
        <v>9.48</v>
      </c>
      <c r="AG95" s="138"/>
      <c r="AH95" s="138"/>
      <c r="AI95" s="138">
        <v>286.60000000000002</v>
      </c>
      <c r="AJ95" s="138"/>
      <c r="AK95" s="138">
        <f t="shared" si="3"/>
        <v>24.75</v>
      </c>
      <c r="AL95" s="138"/>
      <c r="AM95" s="22">
        <v>2</v>
      </c>
      <c r="AO95" s="22">
        <v>34</v>
      </c>
    </row>
    <row r="96" spans="1:41" x14ac:dyDescent="0.35">
      <c r="A96" s="21">
        <v>55</v>
      </c>
      <c r="B96" s="37" t="s">
        <v>4</v>
      </c>
      <c r="C96" s="37" t="s">
        <v>117</v>
      </c>
      <c r="D96" s="38"/>
      <c r="E96" s="38"/>
      <c r="F96" s="38"/>
      <c r="G96" s="38"/>
      <c r="H96" s="38"/>
      <c r="I96" s="38"/>
      <c r="J96" s="39"/>
      <c r="K96" s="62">
        <v>208.4</v>
      </c>
      <c r="L96" s="64"/>
      <c r="M96" s="62"/>
      <c r="N96" s="64"/>
      <c r="O96" s="62">
        <f t="shared" si="2"/>
        <v>41.680000000000007</v>
      </c>
      <c r="P96" s="64"/>
      <c r="Q96" s="138">
        <v>10.69</v>
      </c>
      <c r="R96" s="138"/>
      <c r="S96" s="138"/>
      <c r="T96" s="138">
        <f>0.54+3.94</f>
        <v>4.4800000000000004</v>
      </c>
      <c r="U96" s="138"/>
      <c r="V96" s="138"/>
      <c r="W96" s="138">
        <f>53.14-3.94</f>
        <v>49.2</v>
      </c>
      <c r="X96" s="138"/>
      <c r="Y96" s="138"/>
      <c r="Z96" s="138">
        <v>41.59</v>
      </c>
      <c r="AA96" s="138"/>
      <c r="AB96" s="138"/>
      <c r="AC96" s="138">
        <v>82</v>
      </c>
      <c r="AD96" s="138"/>
      <c r="AE96" s="138"/>
      <c r="AF96" s="138">
        <v>10.66</v>
      </c>
      <c r="AG96" s="138"/>
      <c r="AH96" s="138"/>
      <c r="AI96" s="138">
        <v>302.7</v>
      </c>
      <c r="AJ96" s="138"/>
      <c r="AK96" s="138">
        <f t="shared" si="3"/>
        <v>64.37</v>
      </c>
      <c r="AL96" s="138"/>
      <c r="AM96" s="22">
        <v>3</v>
      </c>
      <c r="AO96" s="22">
        <v>35</v>
      </c>
    </row>
    <row r="97" spans="1:41" x14ac:dyDescent="0.35">
      <c r="A97" s="21">
        <v>56</v>
      </c>
      <c r="B97" s="37" t="s">
        <v>4</v>
      </c>
      <c r="C97" s="37" t="s">
        <v>118</v>
      </c>
      <c r="D97" s="38"/>
      <c r="E97" s="38"/>
      <c r="F97" s="38"/>
      <c r="G97" s="38"/>
      <c r="H97" s="38"/>
      <c r="I97" s="38"/>
      <c r="J97" s="39"/>
      <c r="K97" s="62">
        <v>218.62</v>
      </c>
      <c r="L97" s="64"/>
      <c r="M97" s="62"/>
      <c r="N97" s="64"/>
      <c r="O97" s="62">
        <f t="shared" si="2"/>
        <v>43.724000000000004</v>
      </c>
      <c r="P97" s="64"/>
      <c r="Q97" s="138">
        <v>11.52</v>
      </c>
      <c r="R97" s="138"/>
      <c r="S97" s="138"/>
      <c r="T97" s="138">
        <f>0.64+4.22</f>
        <v>4.8599999999999994</v>
      </c>
      <c r="U97" s="138"/>
      <c r="V97" s="138"/>
      <c r="W97" s="138">
        <f>56.28-4.22</f>
        <v>52.06</v>
      </c>
      <c r="X97" s="138"/>
      <c r="Y97" s="138"/>
      <c r="Z97" s="138">
        <v>44.94</v>
      </c>
      <c r="AA97" s="138"/>
      <c r="AB97" s="138"/>
      <c r="AC97" s="138">
        <v>89</v>
      </c>
      <c r="AD97" s="138"/>
      <c r="AE97" s="138"/>
      <c r="AF97" s="138">
        <v>9.4749999999999996</v>
      </c>
      <c r="AG97" s="138"/>
      <c r="AH97" s="138"/>
      <c r="AI97" s="138">
        <v>320.40000000000003</v>
      </c>
      <c r="AJ97" s="138"/>
      <c r="AK97" s="138">
        <f t="shared" si="3"/>
        <v>68.44</v>
      </c>
      <c r="AL97" s="138"/>
      <c r="AM97" s="22">
        <v>3</v>
      </c>
      <c r="AO97" s="22">
        <v>36</v>
      </c>
    </row>
    <row r="98" spans="1:41" x14ac:dyDescent="0.35">
      <c r="A98" s="37">
        <v>57</v>
      </c>
      <c r="B98" s="37" t="s">
        <v>4</v>
      </c>
      <c r="C98" s="37" t="s">
        <v>119</v>
      </c>
      <c r="D98" s="38"/>
      <c r="E98" s="38"/>
      <c r="F98" s="38"/>
      <c r="G98" s="38"/>
      <c r="H98" s="38"/>
      <c r="I98" s="38"/>
      <c r="J98" s="39"/>
      <c r="K98" s="62">
        <v>208.4</v>
      </c>
      <c r="L98" s="64"/>
      <c r="M98" s="62"/>
      <c r="N98" s="64"/>
      <c r="O98" s="62">
        <f t="shared" si="2"/>
        <v>41.680000000000007</v>
      </c>
      <c r="P98" s="64"/>
      <c r="Q98" s="138">
        <v>10.69</v>
      </c>
      <c r="R98" s="138"/>
      <c r="S98" s="138"/>
      <c r="T98" s="138">
        <f>0.54+3.51</f>
        <v>4.05</v>
      </c>
      <c r="U98" s="138"/>
      <c r="V98" s="138"/>
      <c r="W98" s="138">
        <f>15.67-3.51</f>
        <v>12.16</v>
      </c>
      <c r="X98" s="138"/>
      <c r="Y98" s="138"/>
      <c r="Z98" s="138">
        <v>41.59</v>
      </c>
      <c r="AA98" s="138"/>
      <c r="AB98" s="138"/>
      <c r="AC98" s="138">
        <v>82</v>
      </c>
      <c r="AD98" s="138"/>
      <c r="AE98" s="138"/>
      <c r="AF98" s="138">
        <v>10.66</v>
      </c>
      <c r="AG98" s="138"/>
      <c r="AH98" s="138"/>
      <c r="AI98" s="138">
        <v>302.7</v>
      </c>
      <c r="AJ98" s="138"/>
      <c r="AK98" s="138">
        <f t="shared" si="3"/>
        <v>26.9</v>
      </c>
      <c r="AL98" s="138"/>
      <c r="AM98" s="22">
        <v>2</v>
      </c>
      <c r="AO98" s="22">
        <v>35</v>
      </c>
    </row>
    <row r="99" spans="1:41" x14ac:dyDescent="0.35">
      <c r="A99" s="37">
        <v>58</v>
      </c>
      <c r="B99" s="37" t="s">
        <v>4</v>
      </c>
      <c r="C99" s="37" t="s">
        <v>120</v>
      </c>
      <c r="D99" s="38"/>
      <c r="E99" s="38"/>
      <c r="F99" s="38"/>
      <c r="G99" s="38"/>
      <c r="H99" s="38"/>
      <c r="I99" s="38"/>
      <c r="J99" s="39"/>
      <c r="K99" s="62">
        <v>218.62</v>
      </c>
      <c r="L99" s="64"/>
      <c r="M99" s="62"/>
      <c r="N99" s="64"/>
      <c r="O99" s="62">
        <f t="shared" si="2"/>
        <v>43.724000000000004</v>
      </c>
      <c r="P99" s="64"/>
      <c r="Q99" s="138">
        <v>11.52</v>
      </c>
      <c r="R99" s="138"/>
      <c r="S99" s="138"/>
      <c r="T99" s="138">
        <f>3.64+0.64</f>
        <v>4.28</v>
      </c>
      <c r="U99" s="138"/>
      <c r="V99" s="138"/>
      <c r="W99" s="138">
        <f>16.49-3.64</f>
        <v>12.849999999999998</v>
      </c>
      <c r="X99" s="138"/>
      <c r="Y99" s="138"/>
      <c r="Z99" s="138">
        <v>44.94</v>
      </c>
      <c r="AA99" s="138"/>
      <c r="AB99" s="138"/>
      <c r="AC99" s="138">
        <v>89</v>
      </c>
      <c r="AD99" s="138"/>
      <c r="AE99" s="138"/>
      <c r="AF99" s="138">
        <v>9.48</v>
      </c>
      <c r="AG99" s="138"/>
      <c r="AH99" s="138"/>
      <c r="AI99" s="138">
        <v>320.40000000000003</v>
      </c>
      <c r="AJ99" s="138"/>
      <c r="AK99" s="138">
        <f t="shared" si="3"/>
        <v>28.65</v>
      </c>
      <c r="AL99" s="138"/>
      <c r="AM99" s="22">
        <v>2</v>
      </c>
      <c r="AO99" s="22">
        <v>36</v>
      </c>
    </row>
    <row r="100" spans="1:41" x14ac:dyDescent="0.35">
      <c r="A100" s="37">
        <v>59</v>
      </c>
      <c r="B100" s="37" t="s">
        <v>4</v>
      </c>
      <c r="C100" s="37" t="s">
        <v>121</v>
      </c>
      <c r="D100" s="38"/>
      <c r="E100" s="38"/>
      <c r="F100" s="38"/>
      <c r="G100" s="38"/>
      <c r="H100" s="38"/>
      <c r="I100" s="38"/>
      <c r="J100" s="39"/>
      <c r="K100" s="62">
        <v>251.85</v>
      </c>
      <c r="L100" s="64"/>
      <c r="M100" s="62"/>
      <c r="N100" s="64"/>
      <c r="O100" s="62">
        <f t="shared" si="2"/>
        <v>50.370000000000005</v>
      </c>
      <c r="P100" s="64"/>
      <c r="Q100" s="138">
        <v>13.72</v>
      </c>
      <c r="R100" s="138"/>
      <c r="S100" s="138"/>
      <c r="T100" s="138">
        <f>4.76+0.66</f>
        <v>5.42</v>
      </c>
      <c r="U100" s="138"/>
      <c r="V100" s="138"/>
      <c r="W100" s="138">
        <f>63.71-4.76</f>
        <v>58.95</v>
      </c>
      <c r="X100" s="138"/>
      <c r="Y100" s="138"/>
      <c r="Z100" s="138">
        <v>54.22</v>
      </c>
      <c r="AA100" s="138"/>
      <c r="AB100" s="138"/>
      <c r="AC100" s="138">
        <v>108</v>
      </c>
      <c r="AD100" s="138"/>
      <c r="AE100" s="138"/>
      <c r="AF100" s="138">
        <v>9.4749999999999996</v>
      </c>
      <c r="AG100" s="138"/>
      <c r="AH100" s="138"/>
      <c r="AI100" s="138">
        <v>362.8</v>
      </c>
      <c r="AJ100" s="138"/>
      <c r="AK100" s="138">
        <f t="shared" si="3"/>
        <v>78.09</v>
      </c>
      <c r="AL100" s="138"/>
      <c r="AM100" s="22">
        <v>3</v>
      </c>
      <c r="AO100" s="22">
        <v>37</v>
      </c>
    </row>
    <row r="101" spans="1:41" x14ac:dyDescent="0.35">
      <c r="A101" s="37">
        <v>60</v>
      </c>
      <c r="B101" s="37" t="s">
        <v>4</v>
      </c>
      <c r="C101" s="37" t="s">
        <v>122</v>
      </c>
      <c r="D101" s="38"/>
      <c r="E101" s="38"/>
      <c r="F101" s="38"/>
      <c r="G101" s="38"/>
      <c r="H101" s="38"/>
      <c r="I101" s="38"/>
      <c r="J101" s="39"/>
      <c r="K101" s="62">
        <v>251.85</v>
      </c>
      <c r="L101" s="64"/>
      <c r="M101" s="62"/>
      <c r="N101" s="64"/>
      <c r="O101" s="62">
        <f t="shared" si="2"/>
        <v>50.370000000000005</v>
      </c>
      <c r="P101" s="64"/>
      <c r="Q101" s="138">
        <v>13.72</v>
      </c>
      <c r="R101" s="138"/>
      <c r="S101" s="138"/>
      <c r="T101" s="138">
        <f>4.23+0.66</f>
        <v>4.8900000000000006</v>
      </c>
      <c r="U101" s="138"/>
      <c r="V101" s="138"/>
      <c r="W101" s="138">
        <f>18.92-4.23</f>
        <v>14.690000000000001</v>
      </c>
      <c r="X101" s="138"/>
      <c r="Y101" s="138"/>
      <c r="Z101" s="138">
        <v>54.22</v>
      </c>
      <c r="AA101" s="138"/>
      <c r="AB101" s="138"/>
      <c r="AC101" s="138">
        <v>108</v>
      </c>
      <c r="AD101" s="138"/>
      <c r="AE101" s="138"/>
      <c r="AF101" s="138">
        <v>9.48</v>
      </c>
      <c r="AG101" s="138"/>
      <c r="AH101" s="138"/>
      <c r="AI101" s="138">
        <v>362.8</v>
      </c>
      <c r="AJ101" s="138"/>
      <c r="AK101" s="138">
        <f t="shared" si="3"/>
        <v>33.299999999999997</v>
      </c>
      <c r="AL101" s="138"/>
      <c r="AM101" s="22">
        <v>2</v>
      </c>
      <c r="AO101" s="22">
        <v>37</v>
      </c>
    </row>
    <row r="102" spans="1:41" x14ac:dyDescent="0.35">
      <c r="A102" s="37">
        <v>61</v>
      </c>
      <c r="B102" s="37" t="s">
        <v>4</v>
      </c>
      <c r="C102" s="37" t="s">
        <v>123</v>
      </c>
      <c r="D102" s="38"/>
      <c r="E102" s="38"/>
      <c r="F102" s="38"/>
      <c r="G102" s="38"/>
      <c r="H102" s="38"/>
      <c r="I102" s="38"/>
      <c r="J102" s="39"/>
      <c r="K102" s="62">
        <v>257.68</v>
      </c>
      <c r="L102" s="64"/>
      <c r="M102" s="62"/>
      <c r="N102" s="64"/>
      <c r="O102" s="62">
        <f t="shared" si="2"/>
        <v>51.536000000000001</v>
      </c>
      <c r="P102" s="64"/>
      <c r="Q102" s="138">
        <v>13.72</v>
      </c>
      <c r="R102" s="138"/>
      <c r="S102" s="138"/>
      <c r="T102" s="138">
        <f>4.23+0.66</f>
        <v>4.8900000000000006</v>
      </c>
      <c r="U102" s="138"/>
      <c r="V102" s="138"/>
      <c r="W102" s="138">
        <f>13.72-4.23</f>
        <v>9.49</v>
      </c>
      <c r="X102" s="138"/>
      <c r="Y102" s="138"/>
      <c r="Z102" s="138">
        <v>54.22</v>
      </c>
      <c r="AA102" s="138"/>
      <c r="AB102" s="138"/>
      <c r="AC102" s="138">
        <v>108</v>
      </c>
      <c r="AD102" s="138"/>
      <c r="AE102" s="138"/>
      <c r="AF102" s="138">
        <v>9.4749999999999996</v>
      </c>
      <c r="AG102" s="138"/>
      <c r="AH102" s="138"/>
      <c r="AI102" s="138">
        <v>362.8</v>
      </c>
      <c r="AJ102" s="138"/>
      <c r="AK102" s="138">
        <f t="shared" si="3"/>
        <v>28.1</v>
      </c>
      <c r="AL102" s="138"/>
      <c r="AM102" s="22">
        <v>2</v>
      </c>
      <c r="AO102" s="22">
        <v>39</v>
      </c>
    </row>
    <row r="103" spans="1:41" x14ac:dyDescent="0.35">
      <c r="A103" s="21">
        <v>62</v>
      </c>
      <c r="B103" s="37" t="s">
        <v>4</v>
      </c>
      <c r="C103" s="37" t="s">
        <v>124</v>
      </c>
      <c r="D103" s="38"/>
      <c r="E103" s="38"/>
      <c r="F103" s="38"/>
      <c r="G103" s="38"/>
      <c r="H103" s="38"/>
      <c r="I103" s="38"/>
      <c r="J103" s="39"/>
      <c r="K103" s="62">
        <v>257.68</v>
      </c>
      <c r="L103" s="64"/>
      <c r="M103" s="62"/>
      <c r="N103" s="64"/>
      <c r="O103" s="62">
        <f t="shared" si="2"/>
        <v>51.536000000000001</v>
      </c>
      <c r="P103" s="64"/>
      <c r="Q103" s="138">
        <v>13.72</v>
      </c>
      <c r="R103" s="138"/>
      <c r="S103" s="138"/>
      <c r="T103" s="138">
        <f>4.76+0.66</f>
        <v>5.42</v>
      </c>
      <c r="U103" s="138"/>
      <c r="V103" s="138"/>
      <c r="W103" s="138">
        <f>63.71-4.76</f>
        <v>58.95</v>
      </c>
      <c r="X103" s="138"/>
      <c r="Y103" s="138"/>
      <c r="Z103" s="138">
        <v>54.22</v>
      </c>
      <c r="AA103" s="138"/>
      <c r="AB103" s="138"/>
      <c r="AC103" s="138">
        <v>108</v>
      </c>
      <c r="AD103" s="138"/>
      <c r="AE103" s="138"/>
      <c r="AF103" s="138">
        <v>9.4749999999999996</v>
      </c>
      <c r="AG103" s="138"/>
      <c r="AH103" s="138"/>
      <c r="AI103" s="138">
        <v>362.8</v>
      </c>
      <c r="AJ103" s="138"/>
      <c r="AK103" s="138">
        <f t="shared" si="3"/>
        <v>78.09</v>
      </c>
      <c r="AL103" s="138"/>
      <c r="AM103" s="22">
        <v>3</v>
      </c>
      <c r="AO103" s="22">
        <v>39</v>
      </c>
    </row>
    <row r="104" spans="1:41" x14ac:dyDescent="0.35">
      <c r="A104" s="21">
        <v>63</v>
      </c>
      <c r="B104" s="37" t="s">
        <v>4</v>
      </c>
      <c r="C104" s="37" t="s">
        <v>125</v>
      </c>
      <c r="D104" s="38"/>
      <c r="E104" s="38"/>
      <c r="F104" s="38"/>
      <c r="G104" s="38"/>
      <c r="H104" s="38"/>
      <c r="I104" s="38"/>
      <c r="J104" s="39"/>
      <c r="K104" s="62">
        <v>280.31</v>
      </c>
      <c r="L104" s="64"/>
      <c r="M104" s="62"/>
      <c r="N104" s="64"/>
      <c r="O104" s="62">
        <f t="shared" si="2"/>
        <v>56.062000000000005</v>
      </c>
      <c r="P104" s="64"/>
      <c r="Q104" s="138">
        <v>13.66</v>
      </c>
      <c r="R104" s="138"/>
      <c r="S104" s="138"/>
      <c r="T104" s="138">
        <f>0.72+5.34</f>
        <v>6.06</v>
      </c>
      <c r="U104" s="138"/>
      <c r="V104" s="138"/>
      <c r="W104" s="138">
        <f>71.22-4.62</f>
        <v>66.599999999999994</v>
      </c>
      <c r="X104" s="138"/>
      <c r="Y104" s="138"/>
      <c r="Z104" s="138">
        <v>52.94</v>
      </c>
      <c r="AA104" s="138"/>
      <c r="AB104" s="138"/>
      <c r="AC104" s="138">
        <v>105</v>
      </c>
      <c r="AD104" s="138"/>
      <c r="AE104" s="138"/>
      <c r="AF104" s="138">
        <v>16.045000000000002</v>
      </c>
      <c r="AG104" s="138"/>
      <c r="AH104" s="138"/>
      <c r="AI104" s="138">
        <v>405.40000000000003</v>
      </c>
      <c r="AJ104" s="138"/>
      <c r="AK104" s="138">
        <f t="shared" si="3"/>
        <v>86.32</v>
      </c>
      <c r="AL104" s="138"/>
      <c r="AM104" s="22">
        <v>3</v>
      </c>
      <c r="AO104" s="22">
        <v>38</v>
      </c>
    </row>
    <row r="105" spans="1:41" x14ac:dyDescent="0.35">
      <c r="A105" s="37">
        <v>64</v>
      </c>
      <c r="B105" s="37" t="s">
        <v>4</v>
      </c>
      <c r="C105" s="37" t="s">
        <v>126</v>
      </c>
      <c r="D105" s="38"/>
      <c r="E105" s="38"/>
      <c r="F105" s="38"/>
      <c r="G105" s="38"/>
      <c r="H105" s="38"/>
      <c r="I105" s="38"/>
      <c r="J105" s="39"/>
      <c r="K105" s="62">
        <v>280.31</v>
      </c>
      <c r="L105" s="64"/>
      <c r="M105" s="62"/>
      <c r="N105" s="64"/>
      <c r="O105" s="62">
        <f t="shared" si="2"/>
        <v>56.062000000000005</v>
      </c>
      <c r="P105" s="64"/>
      <c r="Q105" s="138">
        <v>13.66</v>
      </c>
      <c r="R105" s="138"/>
      <c r="S105" s="138"/>
      <c r="T105" s="138">
        <f>0.72+4.62</f>
        <v>5.34</v>
      </c>
      <c r="U105" s="138"/>
      <c r="V105" s="138"/>
      <c r="W105" s="138">
        <f>20.95-4.62</f>
        <v>16.329999999999998</v>
      </c>
      <c r="X105" s="138"/>
      <c r="Y105" s="138"/>
      <c r="Z105" s="138">
        <v>52.94</v>
      </c>
      <c r="AA105" s="138"/>
      <c r="AB105" s="138"/>
      <c r="AC105" s="138">
        <v>105</v>
      </c>
      <c r="AD105" s="138"/>
      <c r="AE105" s="138"/>
      <c r="AF105" s="138">
        <v>16.045000000000002</v>
      </c>
      <c r="AG105" s="138"/>
      <c r="AH105" s="138"/>
      <c r="AI105" s="138">
        <v>405.40000000000003</v>
      </c>
      <c r="AJ105" s="138"/>
      <c r="AK105" s="138">
        <f t="shared" si="3"/>
        <v>35.33</v>
      </c>
      <c r="AL105" s="138"/>
      <c r="AM105" s="22">
        <v>2</v>
      </c>
      <c r="AO105" s="22">
        <v>38</v>
      </c>
    </row>
    <row r="106" spans="1:41" x14ac:dyDescent="0.35">
      <c r="A106" s="37">
        <v>65</v>
      </c>
      <c r="B106" s="37" t="s">
        <v>63</v>
      </c>
      <c r="C106" s="37" t="s">
        <v>127</v>
      </c>
      <c r="D106" s="38"/>
      <c r="E106" s="38"/>
      <c r="F106" s="38"/>
      <c r="G106" s="38"/>
      <c r="H106" s="38"/>
      <c r="I106" s="38"/>
      <c r="J106" s="39"/>
      <c r="K106" s="62">
        <v>83.88</v>
      </c>
      <c r="L106" s="64"/>
      <c r="M106" s="62"/>
      <c r="N106" s="64"/>
      <c r="O106" s="62">
        <f t="shared" ref="O106:O137" si="4">(K106-M106)*0.2</f>
        <v>16.776</v>
      </c>
      <c r="P106" s="64"/>
      <c r="Q106" s="138">
        <v>4.0999999999999996</v>
      </c>
      <c r="R106" s="138"/>
      <c r="S106" s="138"/>
      <c r="T106" s="138">
        <f>0.28+1.31</f>
        <v>1.59</v>
      </c>
      <c r="U106" s="138"/>
      <c r="V106" s="138"/>
      <c r="W106" s="138">
        <f>6.26-1.31</f>
        <v>4.9499999999999993</v>
      </c>
      <c r="X106" s="138"/>
      <c r="Y106" s="138"/>
      <c r="Z106" s="138">
        <v>13.81</v>
      </c>
      <c r="AA106" s="138"/>
      <c r="AB106" s="138"/>
      <c r="AC106" s="138">
        <v>28</v>
      </c>
      <c r="AD106" s="138"/>
      <c r="AE106" s="138"/>
      <c r="AF106" s="138">
        <v>2.3199999999999998</v>
      </c>
      <c r="AG106" s="138"/>
      <c r="AH106" s="138"/>
      <c r="AI106" s="138">
        <v>128.4</v>
      </c>
      <c r="AJ106" s="138"/>
      <c r="AK106" s="138">
        <f t="shared" ref="AK106:AK137" si="5">Q106+T106+W106</f>
        <v>10.639999999999999</v>
      </c>
      <c r="AL106" s="138"/>
      <c r="AM106" s="22">
        <v>2</v>
      </c>
      <c r="AO106" s="22">
        <v>42</v>
      </c>
    </row>
    <row r="107" spans="1:41" x14ac:dyDescent="0.35">
      <c r="A107" s="37">
        <v>66</v>
      </c>
      <c r="B107" s="37" t="s">
        <v>63</v>
      </c>
      <c r="C107" s="37" t="s">
        <v>128</v>
      </c>
      <c r="D107" s="38"/>
      <c r="E107" s="38"/>
      <c r="F107" s="38"/>
      <c r="G107" s="38"/>
      <c r="H107" s="38"/>
      <c r="I107" s="38"/>
      <c r="J107" s="39"/>
      <c r="K107" s="62">
        <v>91.16</v>
      </c>
      <c r="L107" s="64"/>
      <c r="M107" s="62"/>
      <c r="N107" s="64"/>
      <c r="O107" s="62">
        <f t="shared" si="4"/>
        <v>18.231999999999999</v>
      </c>
      <c r="P107" s="64"/>
      <c r="Q107" s="138">
        <v>4.63</v>
      </c>
      <c r="R107" s="138"/>
      <c r="S107" s="138"/>
      <c r="T107" s="138">
        <f>0.28+1.42</f>
        <v>1.7</v>
      </c>
      <c r="U107" s="138"/>
      <c r="V107" s="138"/>
      <c r="W107" s="138">
        <f>6.64-1.42</f>
        <v>5.22</v>
      </c>
      <c r="X107" s="138"/>
      <c r="Y107" s="138"/>
      <c r="Z107" s="138">
        <v>15.84</v>
      </c>
      <c r="AA107" s="138"/>
      <c r="AB107" s="138"/>
      <c r="AC107" s="138">
        <v>32</v>
      </c>
      <c r="AD107" s="138"/>
      <c r="AE107" s="138"/>
      <c r="AF107" s="138">
        <v>2.34</v>
      </c>
      <c r="AG107" s="138"/>
      <c r="AH107" s="138"/>
      <c r="AI107" s="138">
        <v>134.19999999999999</v>
      </c>
      <c r="AJ107" s="138"/>
      <c r="AK107" s="138">
        <f t="shared" si="5"/>
        <v>11.55</v>
      </c>
      <c r="AL107" s="138"/>
      <c r="AM107" s="22">
        <v>2</v>
      </c>
      <c r="AO107" s="22">
        <v>43</v>
      </c>
    </row>
    <row r="108" spans="1:41" x14ac:dyDescent="0.35">
      <c r="A108" s="37">
        <v>67</v>
      </c>
      <c r="B108" s="37" t="s">
        <v>63</v>
      </c>
      <c r="C108" s="37" t="s">
        <v>129</v>
      </c>
      <c r="D108" s="38"/>
      <c r="E108" s="38"/>
      <c r="F108" s="38"/>
      <c r="G108" s="38"/>
      <c r="H108" s="38"/>
      <c r="I108" s="38"/>
      <c r="J108" s="39"/>
      <c r="K108" s="62">
        <v>95.98</v>
      </c>
      <c r="L108" s="64"/>
      <c r="M108" s="62"/>
      <c r="N108" s="64"/>
      <c r="O108" s="62">
        <f t="shared" si="4"/>
        <v>19.196000000000002</v>
      </c>
      <c r="P108" s="64"/>
      <c r="Q108" s="138">
        <v>5.46</v>
      </c>
      <c r="R108" s="138"/>
      <c r="S108" s="138"/>
      <c r="T108" s="138">
        <f>1.57+0.3</f>
        <v>1.87</v>
      </c>
      <c r="U108" s="138"/>
      <c r="V108" s="138"/>
      <c r="W108" s="138">
        <f>7.28-1.57</f>
        <v>5.71</v>
      </c>
      <c r="X108" s="138"/>
      <c r="Y108" s="138"/>
      <c r="Z108" s="138">
        <v>18.900000000000002</v>
      </c>
      <c r="AA108" s="138"/>
      <c r="AB108" s="138"/>
      <c r="AC108" s="138">
        <v>38</v>
      </c>
      <c r="AD108" s="138"/>
      <c r="AE108" s="138"/>
      <c r="AF108" s="138">
        <v>1.661</v>
      </c>
      <c r="AG108" s="138"/>
      <c r="AH108" s="138"/>
      <c r="AI108" s="138">
        <v>147.80000000000001</v>
      </c>
      <c r="AJ108" s="138"/>
      <c r="AK108" s="138">
        <f t="shared" si="5"/>
        <v>13.04</v>
      </c>
      <c r="AL108" s="138"/>
      <c r="AM108" s="22">
        <v>2</v>
      </c>
      <c r="AO108" s="22">
        <v>44</v>
      </c>
    </row>
    <row r="109" spans="1:41" x14ac:dyDescent="0.35">
      <c r="A109" s="37">
        <v>68</v>
      </c>
      <c r="B109" s="37" t="s">
        <v>63</v>
      </c>
      <c r="C109" s="37" t="s">
        <v>130</v>
      </c>
      <c r="D109" s="38"/>
      <c r="E109" s="38"/>
      <c r="F109" s="38"/>
      <c r="G109" s="38"/>
      <c r="H109" s="38"/>
      <c r="I109" s="38"/>
      <c r="J109" s="39"/>
      <c r="K109" s="62">
        <v>115.89</v>
      </c>
      <c r="L109" s="64"/>
      <c r="M109" s="62"/>
      <c r="N109" s="64"/>
      <c r="O109" s="62">
        <f t="shared" si="4"/>
        <v>23.178000000000001</v>
      </c>
      <c r="P109" s="64"/>
      <c r="Q109" s="138">
        <v>7.03</v>
      </c>
      <c r="R109" s="138"/>
      <c r="S109" s="138"/>
      <c r="T109" s="138">
        <f>1.17+1.5</f>
        <v>2.67</v>
      </c>
      <c r="U109" s="138"/>
      <c r="V109" s="138"/>
      <c r="W109" s="138">
        <f>7.73-1.5</f>
        <v>6.23</v>
      </c>
      <c r="X109" s="138"/>
      <c r="Y109" s="138"/>
      <c r="Z109" s="138">
        <v>21.81</v>
      </c>
      <c r="AA109" s="138"/>
      <c r="AB109" s="138"/>
      <c r="AC109" s="138">
        <v>44</v>
      </c>
      <c r="AD109" s="138"/>
      <c r="AE109" s="138"/>
      <c r="AF109" s="138">
        <v>1.8</v>
      </c>
      <c r="AG109" s="138"/>
      <c r="AH109" s="138"/>
      <c r="AI109" s="138">
        <v>160.80000000000001</v>
      </c>
      <c r="AJ109" s="138"/>
      <c r="AK109" s="138">
        <f t="shared" si="5"/>
        <v>15.93</v>
      </c>
      <c r="AL109" s="138"/>
      <c r="AM109" s="22">
        <v>2</v>
      </c>
      <c r="AO109" s="22">
        <v>45</v>
      </c>
    </row>
    <row r="110" spans="1:41" x14ac:dyDescent="0.35">
      <c r="A110" s="21">
        <v>69</v>
      </c>
      <c r="B110" s="37" t="s">
        <v>63</v>
      </c>
      <c r="C110" s="37" t="s">
        <v>131</v>
      </c>
      <c r="D110" s="38"/>
      <c r="E110" s="38"/>
      <c r="F110" s="38"/>
      <c r="G110" s="38"/>
      <c r="H110" s="38"/>
      <c r="I110" s="38"/>
      <c r="J110" s="39"/>
      <c r="K110" s="62">
        <v>171.46</v>
      </c>
      <c r="L110" s="64"/>
      <c r="M110" s="62"/>
      <c r="N110" s="64"/>
      <c r="O110" s="62">
        <f t="shared" si="4"/>
        <v>34.292000000000002</v>
      </c>
      <c r="P110" s="64"/>
      <c r="Q110" s="138">
        <v>7.73</v>
      </c>
      <c r="R110" s="138"/>
      <c r="S110" s="138"/>
      <c r="T110" s="138">
        <f>0.45+2.38</f>
        <v>2.83</v>
      </c>
      <c r="U110" s="138"/>
      <c r="V110" s="138"/>
      <c r="W110" s="138">
        <f>11.74-2.38</f>
        <v>9.36</v>
      </c>
      <c r="X110" s="138"/>
      <c r="Y110" s="138"/>
      <c r="Z110" s="138">
        <v>25.38</v>
      </c>
      <c r="AA110" s="138"/>
      <c r="AB110" s="138"/>
      <c r="AC110" s="138">
        <v>51</v>
      </c>
      <c r="AD110" s="138"/>
      <c r="AE110" s="138"/>
      <c r="AF110" s="138">
        <v>6.47</v>
      </c>
      <c r="AG110" s="138"/>
      <c r="AH110" s="138"/>
      <c r="AI110" s="138">
        <v>241.4</v>
      </c>
      <c r="AJ110" s="138"/>
      <c r="AK110" s="138">
        <f t="shared" si="5"/>
        <v>19.920000000000002</v>
      </c>
      <c r="AL110" s="138"/>
      <c r="AM110" s="22">
        <v>2</v>
      </c>
      <c r="AO110" s="22">
        <v>46</v>
      </c>
    </row>
    <row r="111" spans="1:41" x14ac:dyDescent="0.35">
      <c r="A111" s="21">
        <v>70</v>
      </c>
      <c r="B111" s="37" t="s">
        <v>63</v>
      </c>
      <c r="C111" s="37" t="s">
        <v>132</v>
      </c>
      <c r="D111" s="38"/>
      <c r="E111" s="38"/>
      <c r="F111" s="38"/>
      <c r="G111" s="38"/>
      <c r="H111" s="38"/>
      <c r="I111" s="38"/>
      <c r="J111" s="39"/>
      <c r="K111" s="62">
        <v>170</v>
      </c>
      <c r="L111" s="64"/>
      <c r="M111" s="62"/>
      <c r="N111" s="64"/>
      <c r="O111" s="62">
        <f t="shared" si="4"/>
        <v>34</v>
      </c>
      <c r="P111" s="64"/>
      <c r="Q111" s="138">
        <v>7.99</v>
      </c>
      <c r="R111" s="138"/>
      <c r="S111" s="138"/>
      <c r="T111" s="138">
        <f>0.62+2.64</f>
        <v>3.2600000000000002</v>
      </c>
      <c r="U111" s="138"/>
      <c r="V111" s="138"/>
      <c r="W111" s="138">
        <f>12.36-2.64</f>
        <v>9.7199999999999989</v>
      </c>
      <c r="X111" s="138"/>
      <c r="Y111" s="138"/>
      <c r="Z111" s="138">
        <v>26.5</v>
      </c>
      <c r="AA111" s="138"/>
      <c r="AB111" s="138"/>
      <c r="AC111" s="138">
        <v>53</v>
      </c>
      <c r="AD111" s="138"/>
      <c r="AE111" s="138"/>
      <c r="AF111" s="138">
        <v>6.4729999999999999</v>
      </c>
      <c r="AG111" s="138"/>
      <c r="AH111" s="138"/>
      <c r="AI111" s="138">
        <v>251</v>
      </c>
      <c r="AJ111" s="138"/>
      <c r="AK111" s="138">
        <f t="shared" si="5"/>
        <v>20.97</v>
      </c>
      <c r="AL111" s="138"/>
      <c r="AM111" s="22">
        <v>2</v>
      </c>
      <c r="AO111" s="22">
        <v>47</v>
      </c>
    </row>
    <row r="112" spans="1:41" x14ac:dyDescent="0.35">
      <c r="A112" s="37">
        <v>71</v>
      </c>
      <c r="B112" s="37" t="s">
        <v>63</v>
      </c>
      <c r="C112" s="37" t="s">
        <v>133</v>
      </c>
      <c r="D112" s="38"/>
      <c r="E112" s="38"/>
      <c r="F112" s="38"/>
      <c r="G112" s="38"/>
      <c r="H112" s="38"/>
      <c r="I112" s="38"/>
      <c r="J112" s="39"/>
      <c r="K112" s="62">
        <v>217.78</v>
      </c>
      <c r="L112" s="64"/>
      <c r="M112" s="62"/>
      <c r="N112" s="64"/>
      <c r="O112" s="62">
        <f t="shared" si="4"/>
        <v>43.556000000000004</v>
      </c>
      <c r="P112" s="64"/>
      <c r="Q112" s="138">
        <v>10.65</v>
      </c>
      <c r="R112" s="138"/>
      <c r="S112" s="138"/>
      <c r="T112" s="138">
        <f>0.54+2.75</f>
        <v>3.29</v>
      </c>
      <c r="U112" s="138"/>
      <c r="V112" s="138"/>
      <c r="W112" s="138">
        <f>14.63-2.75</f>
        <v>11.88</v>
      </c>
      <c r="X112" s="138"/>
      <c r="Y112" s="138"/>
      <c r="Z112" s="138">
        <v>33.32</v>
      </c>
      <c r="AA112" s="138"/>
      <c r="AB112" s="138"/>
      <c r="AC112" s="138">
        <v>66</v>
      </c>
      <c r="AD112" s="138"/>
      <c r="AE112" s="138"/>
      <c r="AF112" s="138">
        <v>7.0449999999999999</v>
      </c>
      <c r="AG112" s="138"/>
      <c r="AH112" s="138"/>
      <c r="AI112" s="138">
        <v>306.2</v>
      </c>
      <c r="AJ112" s="138"/>
      <c r="AK112" s="138">
        <f t="shared" si="5"/>
        <v>25.82</v>
      </c>
      <c r="AL112" s="138"/>
      <c r="AM112" s="22">
        <v>2</v>
      </c>
      <c r="AO112" s="22">
        <v>48</v>
      </c>
    </row>
    <row r="113" spans="1:41" x14ac:dyDescent="0.35">
      <c r="A113" s="37">
        <v>72</v>
      </c>
      <c r="B113" s="37" t="s">
        <v>63</v>
      </c>
      <c r="C113" s="37" t="s">
        <v>134</v>
      </c>
      <c r="D113" s="38"/>
      <c r="E113" s="38"/>
      <c r="F113" s="38"/>
      <c r="G113" s="38"/>
      <c r="H113" s="38"/>
      <c r="I113" s="38"/>
      <c r="J113" s="39"/>
      <c r="K113" s="62">
        <v>284.91000000000003</v>
      </c>
      <c r="L113" s="64"/>
      <c r="M113" s="62"/>
      <c r="N113" s="64"/>
      <c r="O113" s="62">
        <f t="shared" si="4"/>
        <v>56.982000000000006</v>
      </c>
      <c r="P113" s="64"/>
      <c r="Q113" s="138">
        <v>12.72</v>
      </c>
      <c r="R113" s="138"/>
      <c r="S113" s="138"/>
      <c r="T113" s="138">
        <f>0.68+4.68</f>
        <v>5.3599999999999994</v>
      </c>
      <c r="U113" s="138"/>
      <c r="V113" s="138"/>
      <c r="W113" s="138">
        <f>20.73-4.68</f>
        <v>16.05</v>
      </c>
      <c r="X113" s="138"/>
      <c r="Y113" s="138"/>
      <c r="Z113" s="138">
        <v>44.52</v>
      </c>
      <c r="AA113" s="138"/>
      <c r="AB113" s="138"/>
      <c r="AC113" s="138">
        <v>89</v>
      </c>
      <c r="AD113" s="138"/>
      <c r="AE113" s="138"/>
      <c r="AF113" s="138">
        <v>12.499000000000001</v>
      </c>
      <c r="AG113" s="138"/>
      <c r="AH113" s="138"/>
      <c r="AI113" s="138">
        <v>414.6</v>
      </c>
      <c r="AJ113" s="138"/>
      <c r="AK113" s="138">
        <f t="shared" si="5"/>
        <v>34.129999999999995</v>
      </c>
      <c r="AL113" s="138"/>
      <c r="AM113" s="22">
        <v>2</v>
      </c>
      <c r="AO113" s="22">
        <v>49</v>
      </c>
    </row>
    <row r="114" spans="1:41" x14ac:dyDescent="0.35">
      <c r="A114" s="37">
        <v>73</v>
      </c>
      <c r="B114" s="37" t="s">
        <v>63</v>
      </c>
      <c r="C114" s="37" t="s">
        <v>135</v>
      </c>
      <c r="D114" s="38"/>
      <c r="E114" s="38"/>
      <c r="F114" s="38"/>
      <c r="G114" s="38"/>
      <c r="H114" s="38"/>
      <c r="I114" s="38"/>
      <c r="J114" s="39"/>
      <c r="K114" s="62">
        <v>321</v>
      </c>
      <c r="L114" s="64"/>
      <c r="M114" s="62"/>
      <c r="N114" s="64"/>
      <c r="O114" s="62">
        <f t="shared" si="4"/>
        <v>64.2</v>
      </c>
      <c r="P114" s="64"/>
      <c r="Q114" s="138">
        <v>14.93</v>
      </c>
      <c r="R114" s="138"/>
      <c r="S114" s="138"/>
      <c r="T114" s="138">
        <f>0.79+5.03</f>
        <v>5.82</v>
      </c>
      <c r="U114" s="138"/>
      <c r="V114" s="138"/>
      <c r="W114" s="138">
        <f>23.05-5.03</f>
        <v>18.02</v>
      </c>
      <c r="X114" s="138"/>
      <c r="Y114" s="138"/>
      <c r="Z114" s="138">
        <v>54.22</v>
      </c>
      <c r="AA114" s="138"/>
      <c r="AB114" s="138"/>
      <c r="AC114" s="138">
        <v>108</v>
      </c>
      <c r="AD114" s="138"/>
      <c r="AE114" s="138"/>
      <c r="AF114" s="138">
        <v>9.4749999999999996</v>
      </c>
      <c r="AG114" s="138"/>
      <c r="AH114" s="138"/>
      <c r="AI114" s="138">
        <v>464.8</v>
      </c>
      <c r="AJ114" s="138"/>
      <c r="AK114" s="138">
        <f t="shared" si="5"/>
        <v>38.769999999999996</v>
      </c>
      <c r="AL114" s="138"/>
      <c r="AM114" s="22">
        <v>2</v>
      </c>
      <c r="AO114" s="22">
        <v>50</v>
      </c>
    </row>
    <row r="115" spans="1:41" x14ac:dyDescent="0.35">
      <c r="A115" s="37">
        <v>74</v>
      </c>
      <c r="B115" s="37" t="s">
        <v>63</v>
      </c>
      <c r="C115" s="37" t="s">
        <v>136</v>
      </c>
      <c r="D115" s="38"/>
      <c r="E115" s="38"/>
      <c r="F115" s="38"/>
      <c r="G115" s="38"/>
      <c r="H115" s="38"/>
      <c r="I115" s="38"/>
      <c r="J115" s="39"/>
      <c r="K115" s="62">
        <v>434.22</v>
      </c>
      <c r="L115" s="64"/>
      <c r="M115" s="62"/>
      <c r="N115" s="64"/>
      <c r="O115" s="62">
        <f t="shared" si="4"/>
        <v>86.844000000000008</v>
      </c>
      <c r="P115" s="64"/>
      <c r="Q115" s="138">
        <v>18.271999999999998</v>
      </c>
      <c r="R115" s="138"/>
      <c r="S115" s="138"/>
      <c r="T115" s="138">
        <f>1.12+6.69</f>
        <v>7.8100000000000005</v>
      </c>
      <c r="U115" s="138"/>
      <c r="V115" s="138"/>
      <c r="W115" s="138">
        <f>30.56-6.69</f>
        <v>23.869999999999997</v>
      </c>
      <c r="X115" s="138"/>
      <c r="Y115" s="138"/>
      <c r="Z115" s="138">
        <v>64.820000000000007</v>
      </c>
      <c r="AA115" s="138"/>
      <c r="AB115" s="138"/>
      <c r="AC115" s="138">
        <v>130</v>
      </c>
      <c r="AD115" s="138"/>
      <c r="AE115" s="138"/>
      <c r="AF115" s="138">
        <v>16.045000000000002</v>
      </c>
      <c r="AG115" s="138"/>
      <c r="AH115" s="138"/>
      <c r="AI115" s="138">
        <v>616.4</v>
      </c>
      <c r="AJ115" s="138"/>
      <c r="AK115" s="138">
        <f t="shared" si="5"/>
        <v>49.951999999999998</v>
      </c>
      <c r="AL115" s="138"/>
      <c r="AM115" s="22">
        <v>2</v>
      </c>
      <c r="AO115" s="22">
        <v>51</v>
      </c>
    </row>
    <row r="116" spans="1:41" x14ac:dyDescent="0.35">
      <c r="A116" s="37">
        <v>75</v>
      </c>
      <c r="B116" s="37" t="s">
        <v>96</v>
      </c>
      <c r="C116" s="37" t="s">
        <v>137</v>
      </c>
      <c r="D116" s="38"/>
      <c r="E116" s="38"/>
      <c r="F116" s="38"/>
      <c r="G116" s="38"/>
      <c r="H116" s="38"/>
      <c r="I116" s="38"/>
      <c r="J116" s="39"/>
      <c r="K116" s="62">
        <v>200.44</v>
      </c>
      <c r="L116" s="64"/>
      <c r="M116" s="62"/>
      <c r="N116" s="64"/>
      <c r="O116" s="62">
        <f t="shared" si="4"/>
        <v>40.088000000000001</v>
      </c>
      <c r="P116" s="64"/>
      <c r="Q116" s="138">
        <v>11.69</v>
      </c>
      <c r="R116" s="138"/>
      <c r="S116" s="138"/>
      <c r="T116" s="138">
        <f>0.52+3.15</f>
        <v>3.67</v>
      </c>
      <c r="U116" s="138"/>
      <c r="V116" s="138"/>
      <c r="W116" s="138">
        <f>13.98-3.15</f>
        <v>10.83</v>
      </c>
      <c r="X116" s="138"/>
      <c r="Y116" s="138"/>
      <c r="Z116" s="138">
        <v>30.68</v>
      </c>
      <c r="AA116" s="138"/>
      <c r="AB116" s="138"/>
      <c r="AC116" s="138">
        <v>80</v>
      </c>
      <c r="AD116" s="138"/>
      <c r="AE116" s="138"/>
      <c r="AF116" s="138">
        <v>6.4729999999999999</v>
      </c>
      <c r="AG116" s="138"/>
      <c r="AH116" s="138"/>
      <c r="AI116" s="138">
        <v>279.40000000000003</v>
      </c>
      <c r="AJ116" s="138"/>
      <c r="AK116" s="138">
        <f t="shared" si="5"/>
        <v>26.189999999999998</v>
      </c>
      <c r="AL116" s="138"/>
      <c r="AM116" s="22">
        <v>2</v>
      </c>
      <c r="AO116" s="22">
        <v>53</v>
      </c>
    </row>
    <row r="117" spans="1:41" x14ac:dyDescent="0.35">
      <c r="A117" s="21">
        <v>76</v>
      </c>
      <c r="B117" s="37" t="s">
        <v>96</v>
      </c>
      <c r="C117" s="37" t="s">
        <v>138</v>
      </c>
      <c r="D117" s="38"/>
      <c r="E117" s="38"/>
      <c r="F117" s="38"/>
      <c r="G117" s="38"/>
      <c r="H117" s="38"/>
      <c r="I117" s="38"/>
      <c r="J117" s="39"/>
      <c r="K117" s="62">
        <v>210.62</v>
      </c>
      <c r="L117" s="64"/>
      <c r="M117" s="62"/>
      <c r="N117" s="64"/>
      <c r="O117" s="62">
        <f t="shared" si="4"/>
        <v>42.124000000000002</v>
      </c>
      <c r="P117" s="64"/>
      <c r="Q117" s="138">
        <v>12.23</v>
      </c>
      <c r="R117" s="138"/>
      <c r="S117" s="138"/>
      <c r="T117" s="138">
        <f>0.54+3.37</f>
        <v>3.91</v>
      </c>
      <c r="U117" s="138"/>
      <c r="V117" s="138"/>
      <c r="W117" s="138">
        <f>15.24-3.37</f>
        <v>11.870000000000001</v>
      </c>
      <c r="X117" s="138"/>
      <c r="Y117" s="138"/>
      <c r="Z117" s="138">
        <v>33.230000000000004</v>
      </c>
      <c r="AA117" s="138"/>
      <c r="AB117" s="138"/>
      <c r="AC117" s="138">
        <v>85</v>
      </c>
      <c r="AD117" s="138"/>
      <c r="AE117" s="138"/>
      <c r="AF117" s="138">
        <v>7.0449999999999999</v>
      </c>
      <c r="AG117" s="138"/>
      <c r="AH117" s="138"/>
      <c r="AI117" s="138">
        <v>306.2</v>
      </c>
      <c r="AJ117" s="138"/>
      <c r="AK117" s="138">
        <f t="shared" si="5"/>
        <v>28.01</v>
      </c>
      <c r="AL117" s="138"/>
      <c r="AM117" s="22">
        <v>2</v>
      </c>
      <c r="AO117" s="22">
        <v>52</v>
      </c>
    </row>
    <row r="118" spans="1:41" x14ac:dyDescent="0.35">
      <c r="A118" s="21">
        <v>77</v>
      </c>
      <c r="B118" s="37" t="s">
        <v>96</v>
      </c>
      <c r="C118" s="37" t="s">
        <v>139</v>
      </c>
      <c r="D118" s="38"/>
      <c r="E118" s="38"/>
      <c r="F118" s="38"/>
      <c r="G118" s="38"/>
      <c r="H118" s="38"/>
      <c r="I118" s="38"/>
      <c r="J118" s="39"/>
      <c r="K118" s="62">
        <v>205.35</v>
      </c>
      <c r="L118" s="64"/>
      <c r="M118" s="62"/>
      <c r="N118" s="64"/>
      <c r="O118" s="62">
        <f t="shared" si="4"/>
        <v>41.07</v>
      </c>
      <c r="P118" s="64"/>
      <c r="Q118" s="138">
        <v>11.8</v>
      </c>
      <c r="R118" s="138"/>
      <c r="S118" s="138"/>
      <c r="T118" s="138">
        <f>0.53+3.26</f>
        <v>3.79</v>
      </c>
      <c r="U118" s="138"/>
      <c r="V118" s="138"/>
      <c r="W118" s="138">
        <f>15.27-3.26</f>
        <v>12.01</v>
      </c>
      <c r="X118" s="138"/>
      <c r="Y118" s="138"/>
      <c r="Z118" s="138">
        <v>31.95</v>
      </c>
      <c r="AA118" s="138"/>
      <c r="AB118" s="138"/>
      <c r="AC118" s="138">
        <v>82</v>
      </c>
      <c r="AD118" s="138"/>
      <c r="AE118" s="138"/>
      <c r="AF118" s="138">
        <v>7.0449999999999999</v>
      </c>
      <c r="AG118" s="138"/>
      <c r="AH118" s="138"/>
      <c r="AI118" s="138">
        <v>309.90000000000003</v>
      </c>
      <c r="AJ118" s="138"/>
      <c r="AK118" s="138">
        <f t="shared" si="5"/>
        <v>27.6</v>
      </c>
      <c r="AL118" s="138"/>
      <c r="AM118" s="22">
        <v>2</v>
      </c>
      <c r="AO118" s="22">
        <v>54</v>
      </c>
    </row>
    <row r="119" spans="1:41" x14ac:dyDescent="0.35">
      <c r="A119" s="37">
        <v>78</v>
      </c>
      <c r="B119" s="37" t="s">
        <v>96</v>
      </c>
      <c r="C119" s="37" t="s">
        <v>140</v>
      </c>
      <c r="D119" s="38"/>
      <c r="E119" s="38"/>
      <c r="F119" s="38"/>
      <c r="G119" s="38"/>
      <c r="H119" s="38"/>
      <c r="I119" s="38"/>
      <c r="J119" s="39"/>
      <c r="K119" s="62">
        <v>269.04000000000002</v>
      </c>
      <c r="L119" s="64"/>
      <c r="M119" s="62"/>
      <c r="N119" s="64"/>
      <c r="O119" s="62">
        <f t="shared" si="4"/>
        <v>53.808000000000007</v>
      </c>
      <c r="P119" s="64"/>
      <c r="Q119" s="138">
        <v>20.48</v>
      </c>
      <c r="R119" s="138"/>
      <c r="S119" s="138"/>
      <c r="T119" s="138">
        <f>0.73+4.78</f>
        <v>5.51</v>
      </c>
      <c r="U119" s="138"/>
      <c r="V119" s="138"/>
      <c r="W119" s="138">
        <f>20.24-4.78</f>
        <v>15.459999999999997</v>
      </c>
      <c r="X119" s="138"/>
      <c r="Y119" s="138"/>
      <c r="Z119" s="138">
        <v>44.31</v>
      </c>
      <c r="AA119" s="138"/>
      <c r="AB119" s="138"/>
      <c r="AC119" s="138">
        <v>139</v>
      </c>
      <c r="AD119" s="138"/>
      <c r="AE119" s="138"/>
      <c r="AF119" s="138">
        <v>5.57</v>
      </c>
      <c r="AG119" s="138"/>
      <c r="AH119" s="138"/>
      <c r="AI119" s="138">
        <v>399</v>
      </c>
      <c r="AJ119" s="138"/>
      <c r="AK119" s="138">
        <f t="shared" si="5"/>
        <v>41.45</v>
      </c>
      <c r="AL119" s="138"/>
      <c r="AM119" s="22">
        <v>2</v>
      </c>
      <c r="AO119" s="22">
        <v>58</v>
      </c>
    </row>
    <row r="120" spans="1:41" x14ac:dyDescent="0.35">
      <c r="A120" s="37">
        <v>79</v>
      </c>
      <c r="B120" s="37" t="s">
        <v>101</v>
      </c>
      <c r="C120" s="37" t="s">
        <v>141</v>
      </c>
      <c r="D120" s="38"/>
      <c r="E120" s="38"/>
      <c r="F120" s="38"/>
      <c r="G120" s="38"/>
      <c r="H120" s="38"/>
      <c r="I120" s="38"/>
      <c r="J120" s="39"/>
      <c r="K120" s="62">
        <v>206.8</v>
      </c>
      <c r="L120" s="64"/>
      <c r="M120" s="62"/>
      <c r="N120" s="64"/>
      <c r="O120" s="62">
        <f t="shared" si="4"/>
        <v>41.360000000000007</v>
      </c>
      <c r="P120" s="64"/>
      <c r="Q120" s="138">
        <v>13.81</v>
      </c>
      <c r="R120" s="138"/>
      <c r="S120" s="138"/>
      <c r="T120" s="138">
        <f>0.44+3.55</f>
        <v>3.9899999999999998</v>
      </c>
      <c r="U120" s="138"/>
      <c r="V120" s="138"/>
      <c r="W120" s="138">
        <f>14.5-3.55</f>
        <v>10.95</v>
      </c>
      <c r="X120" s="138"/>
      <c r="Y120" s="138"/>
      <c r="Z120" s="138">
        <v>30.68</v>
      </c>
      <c r="AA120" s="138"/>
      <c r="AB120" s="138"/>
      <c r="AC120" s="138">
        <v>99</v>
      </c>
      <c r="AD120" s="138"/>
      <c r="AE120" s="138"/>
      <c r="AF120" s="138">
        <v>6.4729999999999999</v>
      </c>
      <c r="AG120" s="138"/>
      <c r="AH120" s="138"/>
      <c r="AI120" s="138">
        <v>282.60000000000002</v>
      </c>
      <c r="AJ120" s="138"/>
      <c r="AK120" s="138">
        <f t="shared" si="5"/>
        <v>28.75</v>
      </c>
      <c r="AL120" s="138"/>
      <c r="AM120" s="22">
        <v>2</v>
      </c>
      <c r="AO120" s="22">
        <v>57</v>
      </c>
    </row>
    <row r="121" spans="1:41" x14ac:dyDescent="0.35">
      <c r="A121" s="37">
        <v>80</v>
      </c>
      <c r="B121" s="37" t="s">
        <v>101</v>
      </c>
      <c r="C121" s="37" t="s">
        <v>142</v>
      </c>
      <c r="D121" s="38"/>
      <c r="E121" s="38"/>
      <c r="F121" s="38"/>
      <c r="G121" s="38"/>
      <c r="H121" s="38"/>
      <c r="I121" s="38"/>
      <c r="J121" s="39"/>
      <c r="K121" s="62">
        <v>216.98000000000002</v>
      </c>
      <c r="L121" s="64"/>
      <c r="M121" s="62"/>
      <c r="N121" s="64"/>
      <c r="O121" s="62">
        <f t="shared" si="4"/>
        <v>43.396000000000008</v>
      </c>
      <c r="P121" s="64"/>
      <c r="Q121" s="138">
        <v>14.67</v>
      </c>
      <c r="R121" s="138"/>
      <c r="S121" s="138"/>
      <c r="T121" s="138">
        <f>0.48+3.77</f>
        <v>4.25</v>
      </c>
      <c r="U121" s="138"/>
      <c r="V121" s="138"/>
      <c r="W121" s="138">
        <f>15.76-3.77</f>
        <v>11.99</v>
      </c>
      <c r="X121" s="138"/>
      <c r="Y121" s="138"/>
      <c r="Z121" s="138">
        <v>33.230000000000004</v>
      </c>
      <c r="AA121" s="138"/>
      <c r="AB121" s="138"/>
      <c r="AC121" s="138">
        <v>104</v>
      </c>
      <c r="AD121" s="138"/>
      <c r="AE121" s="138"/>
      <c r="AF121" s="138">
        <v>7.0650000000000004</v>
      </c>
      <c r="AG121" s="138"/>
      <c r="AH121" s="138"/>
      <c r="AI121" s="138">
        <v>309.40000000000003</v>
      </c>
      <c r="AJ121" s="138"/>
      <c r="AK121" s="138">
        <f t="shared" si="5"/>
        <v>30.910000000000004</v>
      </c>
      <c r="AL121" s="138"/>
      <c r="AM121" s="22">
        <v>2</v>
      </c>
      <c r="AO121" s="22">
        <v>55</v>
      </c>
    </row>
    <row r="122" spans="1:41" x14ac:dyDescent="0.35">
      <c r="A122" s="37">
        <v>81</v>
      </c>
      <c r="B122" s="37" t="s">
        <v>101</v>
      </c>
      <c r="C122" s="37" t="s">
        <v>143</v>
      </c>
      <c r="D122" s="38"/>
      <c r="E122" s="38"/>
      <c r="F122" s="38"/>
      <c r="G122" s="38"/>
      <c r="H122" s="38"/>
      <c r="I122" s="38"/>
      <c r="J122" s="39"/>
      <c r="K122" s="62">
        <v>208.71</v>
      </c>
      <c r="L122" s="64"/>
      <c r="M122" s="62"/>
      <c r="N122" s="64"/>
      <c r="O122" s="62">
        <f t="shared" si="4"/>
        <v>41.742000000000004</v>
      </c>
      <c r="P122" s="64"/>
      <c r="Q122" s="138">
        <v>14.24</v>
      </c>
      <c r="R122" s="138"/>
      <c r="S122" s="138"/>
      <c r="T122" s="138">
        <f>0.46+3.66</f>
        <v>4.12</v>
      </c>
      <c r="U122" s="138"/>
      <c r="V122" s="138"/>
      <c r="W122" s="138">
        <f>15.13-3.66</f>
        <v>11.47</v>
      </c>
      <c r="X122" s="138"/>
      <c r="Y122" s="138"/>
      <c r="Z122" s="138">
        <v>31.95</v>
      </c>
      <c r="AA122" s="138"/>
      <c r="AB122" s="138"/>
      <c r="AC122" s="138">
        <v>101</v>
      </c>
      <c r="AD122" s="138"/>
      <c r="AE122" s="138"/>
      <c r="AF122" s="138">
        <v>7.0650000000000004</v>
      </c>
      <c r="AG122" s="138"/>
      <c r="AH122" s="138"/>
      <c r="AI122" s="138">
        <v>296</v>
      </c>
      <c r="AJ122" s="138"/>
      <c r="AK122" s="138">
        <f t="shared" si="5"/>
        <v>29.83</v>
      </c>
      <c r="AL122" s="138"/>
      <c r="AM122" s="22">
        <v>2</v>
      </c>
      <c r="AO122" s="22">
        <v>56</v>
      </c>
    </row>
    <row r="123" spans="1:41" x14ac:dyDescent="0.35">
      <c r="A123" s="37">
        <v>82</v>
      </c>
      <c r="B123" s="37" t="s">
        <v>101</v>
      </c>
      <c r="C123" s="37" t="s">
        <v>144</v>
      </c>
      <c r="D123" s="38"/>
      <c r="E123" s="38"/>
      <c r="F123" s="38"/>
      <c r="G123" s="38"/>
      <c r="H123" s="38"/>
      <c r="I123" s="38"/>
      <c r="J123" s="39"/>
      <c r="K123" s="62">
        <v>298.64</v>
      </c>
      <c r="L123" s="64"/>
      <c r="M123" s="62"/>
      <c r="N123" s="64"/>
      <c r="O123" s="62">
        <f t="shared" si="4"/>
        <v>59.728000000000002</v>
      </c>
      <c r="P123" s="64"/>
      <c r="Q123" s="138">
        <v>30.52</v>
      </c>
      <c r="R123" s="138"/>
      <c r="S123" s="138"/>
      <c r="T123" s="138">
        <f>0.76+6.08</f>
        <v>6.84</v>
      </c>
      <c r="U123" s="138"/>
      <c r="V123" s="138"/>
      <c r="W123" s="138">
        <f>23.43-6.08</f>
        <v>17.350000000000001</v>
      </c>
      <c r="X123" s="138"/>
      <c r="Y123" s="138"/>
      <c r="Z123" s="138">
        <v>55.39</v>
      </c>
      <c r="AA123" s="138"/>
      <c r="AB123" s="138"/>
      <c r="AC123" s="138">
        <v>211</v>
      </c>
      <c r="AD123" s="138"/>
      <c r="AE123" s="138"/>
      <c r="AF123" s="138">
        <v>1.8</v>
      </c>
      <c r="AG123" s="138"/>
      <c r="AH123" s="138"/>
      <c r="AI123" s="138">
        <v>448.2</v>
      </c>
      <c r="AJ123" s="138"/>
      <c r="AK123" s="138">
        <f t="shared" si="5"/>
        <v>54.71</v>
      </c>
      <c r="AL123" s="138"/>
      <c r="AM123" s="22">
        <v>2</v>
      </c>
      <c r="AO123" s="22">
        <v>59</v>
      </c>
    </row>
    <row r="124" spans="1:41" x14ac:dyDescent="0.35">
      <c r="A124" s="21">
        <v>83</v>
      </c>
      <c r="B124" s="37" t="s">
        <v>4</v>
      </c>
      <c r="C124" s="37" t="s">
        <v>145</v>
      </c>
      <c r="D124" s="38"/>
      <c r="E124" s="38"/>
      <c r="F124" s="38"/>
      <c r="G124" s="38"/>
      <c r="H124" s="38"/>
      <c r="I124" s="38"/>
      <c r="J124" s="39"/>
      <c r="K124" s="62">
        <v>161.43</v>
      </c>
      <c r="L124" s="64"/>
      <c r="M124" s="62"/>
      <c r="N124" s="64"/>
      <c r="O124" s="62">
        <f t="shared" si="4"/>
        <v>32.286000000000001</v>
      </c>
      <c r="P124" s="64"/>
      <c r="Q124" s="138">
        <v>9.7000000000000011</v>
      </c>
      <c r="R124" s="138"/>
      <c r="S124" s="138"/>
      <c r="T124" s="138">
        <f>0.42+4.15</f>
        <v>4.57</v>
      </c>
      <c r="U124" s="138"/>
      <c r="V124" s="138"/>
      <c r="W124" s="138">
        <f>12.88-4.15</f>
        <v>8.73</v>
      </c>
      <c r="X124" s="138"/>
      <c r="Y124" s="138"/>
      <c r="Z124" s="138">
        <v>33.230000000000004</v>
      </c>
      <c r="AA124" s="138"/>
      <c r="AB124" s="138"/>
      <c r="AC124" s="138">
        <v>66</v>
      </c>
      <c r="AD124" s="138"/>
      <c r="AE124" s="138"/>
      <c r="AF124" s="138">
        <v>7.0650000000000004</v>
      </c>
      <c r="AG124" s="138"/>
      <c r="AH124" s="138"/>
      <c r="AI124" s="138">
        <v>236.5</v>
      </c>
      <c r="AJ124" s="138"/>
      <c r="AK124" s="138">
        <f t="shared" si="5"/>
        <v>23</v>
      </c>
      <c r="AL124" s="138"/>
      <c r="AM124" s="22">
        <v>3</v>
      </c>
      <c r="AO124" s="22">
        <v>60</v>
      </c>
    </row>
    <row r="125" spans="1:41" x14ac:dyDescent="0.35">
      <c r="A125" s="21">
        <v>84</v>
      </c>
      <c r="B125" s="37" t="s">
        <v>4</v>
      </c>
      <c r="C125" s="37" t="s">
        <v>146</v>
      </c>
      <c r="D125" s="38"/>
      <c r="E125" s="38"/>
      <c r="F125" s="38"/>
      <c r="G125" s="38"/>
      <c r="H125" s="38"/>
      <c r="I125" s="38"/>
      <c r="J125" s="39"/>
      <c r="K125" s="62">
        <v>161.43</v>
      </c>
      <c r="L125" s="64"/>
      <c r="M125" s="62"/>
      <c r="N125" s="64"/>
      <c r="O125" s="62">
        <f t="shared" si="4"/>
        <v>32.286000000000001</v>
      </c>
      <c r="P125" s="64"/>
      <c r="Q125" s="138">
        <v>9.7000000000000011</v>
      </c>
      <c r="R125" s="138"/>
      <c r="S125" s="138"/>
      <c r="T125" s="138">
        <f>0.42+3.29</f>
        <v>3.71</v>
      </c>
      <c r="U125" s="138"/>
      <c r="V125" s="138"/>
      <c r="W125" s="138">
        <f>12.88-3.29</f>
        <v>9.59</v>
      </c>
      <c r="X125" s="138"/>
      <c r="Y125" s="138"/>
      <c r="Z125" s="138">
        <v>33.230000000000004</v>
      </c>
      <c r="AA125" s="138"/>
      <c r="AB125" s="138"/>
      <c r="AC125" s="138">
        <v>66</v>
      </c>
      <c r="AD125" s="138"/>
      <c r="AE125" s="138"/>
      <c r="AF125" s="138">
        <v>7.0650000000000004</v>
      </c>
      <c r="AG125" s="138"/>
      <c r="AH125" s="138"/>
      <c r="AI125" s="138">
        <v>236.5</v>
      </c>
      <c r="AJ125" s="138"/>
      <c r="AK125" s="138">
        <f t="shared" si="5"/>
        <v>23</v>
      </c>
      <c r="AL125" s="138"/>
      <c r="AM125" s="22">
        <v>2</v>
      </c>
      <c r="AO125" s="22">
        <v>60</v>
      </c>
    </row>
    <row r="126" spans="1:41" x14ac:dyDescent="0.35">
      <c r="A126" s="37">
        <v>85</v>
      </c>
      <c r="B126" s="37" t="s">
        <v>4</v>
      </c>
      <c r="C126" s="37" t="s">
        <v>147</v>
      </c>
      <c r="D126" s="38"/>
      <c r="E126" s="38"/>
      <c r="F126" s="38"/>
      <c r="G126" s="38"/>
      <c r="H126" s="38"/>
      <c r="I126" s="38"/>
      <c r="J126" s="39"/>
      <c r="K126" s="62">
        <v>195.56</v>
      </c>
      <c r="L126" s="64"/>
      <c r="M126" s="62"/>
      <c r="N126" s="64"/>
      <c r="O126" s="62">
        <f t="shared" si="4"/>
        <v>39.112000000000002</v>
      </c>
      <c r="P126" s="64"/>
      <c r="Q126" s="138">
        <v>11.01</v>
      </c>
      <c r="R126" s="138"/>
      <c r="S126" s="138"/>
      <c r="T126" s="138">
        <f>0.52+4.8</f>
        <v>5.32</v>
      </c>
      <c r="U126" s="138"/>
      <c r="V126" s="138"/>
      <c r="W126" s="138">
        <f>51.42-4.8</f>
        <v>46.620000000000005</v>
      </c>
      <c r="X126" s="138"/>
      <c r="Y126" s="138"/>
      <c r="Z126" s="138">
        <v>37.81</v>
      </c>
      <c r="AA126" s="138"/>
      <c r="AB126" s="138"/>
      <c r="AC126" s="138">
        <v>75</v>
      </c>
      <c r="AD126" s="138"/>
      <c r="AE126" s="138"/>
      <c r="AF126" s="138">
        <v>9.4749999999999996</v>
      </c>
      <c r="AG126" s="138"/>
      <c r="AH126" s="138"/>
      <c r="AI126" s="138">
        <v>286.90000000000003</v>
      </c>
      <c r="AJ126" s="138"/>
      <c r="AK126" s="138">
        <f t="shared" si="5"/>
        <v>62.95</v>
      </c>
      <c r="AL126" s="138"/>
      <c r="AM126" s="22">
        <v>3</v>
      </c>
      <c r="AO126" s="22">
        <v>61</v>
      </c>
    </row>
    <row r="127" spans="1:41" x14ac:dyDescent="0.35">
      <c r="A127" s="37">
        <v>86</v>
      </c>
      <c r="B127" s="37" t="s">
        <v>4</v>
      </c>
      <c r="C127" s="37" t="s">
        <v>148</v>
      </c>
      <c r="D127" s="38"/>
      <c r="E127" s="38"/>
      <c r="F127" s="38"/>
      <c r="G127" s="38"/>
      <c r="H127" s="38"/>
      <c r="I127" s="38"/>
      <c r="J127" s="39"/>
      <c r="K127" s="62">
        <v>195.56</v>
      </c>
      <c r="L127" s="64"/>
      <c r="M127" s="62"/>
      <c r="N127" s="64"/>
      <c r="O127" s="62">
        <f t="shared" si="4"/>
        <v>39.112000000000002</v>
      </c>
      <c r="P127" s="64"/>
      <c r="Q127" s="138"/>
      <c r="R127" s="138"/>
      <c r="S127" s="138"/>
      <c r="T127" s="138"/>
      <c r="U127" s="138"/>
      <c r="V127" s="138"/>
      <c r="W127" s="138"/>
      <c r="X127" s="138"/>
      <c r="Y127" s="138"/>
      <c r="Z127" s="138"/>
      <c r="AA127" s="138"/>
      <c r="AB127" s="138"/>
      <c r="AC127" s="138"/>
      <c r="AD127" s="138"/>
      <c r="AE127" s="138"/>
      <c r="AF127" s="138"/>
      <c r="AG127" s="138"/>
      <c r="AH127" s="138"/>
      <c r="AI127" s="138"/>
      <c r="AJ127" s="138"/>
      <c r="AK127" s="138">
        <f t="shared" si="5"/>
        <v>0</v>
      </c>
      <c r="AL127" s="138"/>
      <c r="AM127" s="22">
        <v>2</v>
      </c>
      <c r="AO127" s="22">
        <v>61</v>
      </c>
    </row>
    <row r="128" spans="1:41" x14ac:dyDescent="0.35">
      <c r="A128" s="37">
        <v>87</v>
      </c>
      <c r="B128" s="37" t="s">
        <v>4</v>
      </c>
      <c r="C128" s="37" t="s">
        <v>149</v>
      </c>
      <c r="D128" s="38"/>
      <c r="E128" s="38"/>
      <c r="F128" s="38"/>
      <c r="G128" s="38"/>
      <c r="H128" s="38"/>
      <c r="I128" s="38"/>
      <c r="J128" s="39"/>
      <c r="K128" s="62">
        <v>211.12</v>
      </c>
      <c r="L128" s="64"/>
      <c r="M128" s="62"/>
      <c r="N128" s="64"/>
      <c r="O128" s="62">
        <f t="shared" si="4"/>
        <v>42.224000000000004</v>
      </c>
      <c r="P128" s="64"/>
      <c r="Q128" s="138"/>
      <c r="R128" s="138"/>
      <c r="S128" s="138"/>
      <c r="T128" s="138"/>
      <c r="U128" s="138"/>
      <c r="V128" s="138"/>
      <c r="W128" s="138"/>
      <c r="X128" s="138"/>
      <c r="Y128" s="138"/>
      <c r="Z128" s="138"/>
      <c r="AA128" s="138"/>
      <c r="AB128" s="138"/>
      <c r="AC128" s="138"/>
      <c r="AD128" s="138"/>
      <c r="AE128" s="138"/>
      <c r="AF128" s="138"/>
      <c r="AG128" s="138"/>
      <c r="AH128" s="138"/>
      <c r="AI128" s="138"/>
      <c r="AJ128" s="138"/>
      <c r="AK128" s="138">
        <f t="shared" si="5"/>
        <v>0</v>
      </c>
      <c r="AL128" s="138"/>
      <c r="AM128" s="22">
        <v>3</v>
      </c>
      <c r="AO128" s="22">
        <v>62</v>
      </c>
    </row>
    <row r="129" spans="1:41" x14ac:dyDescent="0.35">
      <c r="A129" s="37">
        <v>88</v>
      </c>
      <c r="B129" s="37" t="s">
        <v>4</v>
      </c>
      <c r="C129" s="37" t="s">
        <v>150</v>
      </c>
      <c r="D129" s="38"/>
      <c r="E129" s="38"/>
      <c r="F129" s="38"/>
      <c r="G129" s="38"/>
      <c r="H129" s="38"/>
      <c r="I129" s="38"/>
      <c r="J129" s="39"/>
      <c r="K129" s="62">
        <v>211.12</v>
      </c>
      <c r="L129" s="64"/>
      <c r="M129" s="62"/>
      <c r="N129" s="64"/>
      <c r="O129" s="62">
        <f t="shared" si="4"/>
        <v>42.224000000000004</v>
      </c>
      <c r="P129" s="64"/>
      <c r="Q129" s="138"/>
      <c r="R129" s="138"/>
      <c r="S129" s="138"/>
      <c r="T129" s="138"/>
      <c r="U129" s="138"/>
      <c r="V129" s="138"/>
      <c r="W129" s="138"/>
      <c r="X129" s="138"/>
      <c r="Y129" s="138"/>
      <c r="Z129" s="138"/>
      <c r="AA129" s="138"/>
      <c r="AB129" s="138"/>
      <c r="AC129" s="138"/>
      <c r="AD129" s="138"/>
      <c r="AE129" s="138"/>
      <c r="AF129" s="138"/>
      <c r="AG129" s="138"/>
      <c r="AH129" s="138"/>
      <c r="AI129" s="138"/>
      <c r="AJ129" s="138"/>
      <c r="AK129" s="138">
        <f t="shared" si="5"/>
        <v>0</v>
      </c>
      <c r="AL129" s="138"/>
      <c r="AM129" s="22">
        <v>2</v>
      </c>
      <c r="AO129" s="22">
        <v>62</v>
      </c>
    </row>
    <row r="130" spans="1:41" x14ac:dyDescent="0.35">
      <c r="A130" s="37">
        <v>89</v>
      </c>
      <c r="B130" s="37" t="s">
        <v>4</v>
      </c>
      <c r="C130" s="37" t="s">
        <v>151</v>
      </c>
      <c r="D130" s="38"/>
      <c r="E130" s="38"/>
      <c r="F130" s="38"/>
      <c r="G130" s="38"/>
      <c r="H130" s="38"/>
      <c r="I130" s="38"/>
      <c r="J130" s="39"/>
      <c r="K130" s="62">
        <v>224.02</v>
      </c>
      <c r="L130" s="64"/>
      <c r="M130" s="62"/>
      <c r="N130" s="64"/>
      <c r="O130" s="62">
        <f t="shared" si="4"/>
        <v>44.804000000000002</v>
      </c>
      <c r="P130" s="64"/>
      <c r="Q130" s="138"/>
      <c r="R130" s="138"/>
      <c r="S130" s="138"/>
      <c r="T130" s="138"/>
      <c r="U130" s="138"/>
      <c r="V130" s="138"/>
      <c r="W130" s="138"/>
      <c r="X130" s="138"/>
      <c r="Y130" s="138"/>
      <c r="Z130" s="138"/>
      <c r="AA130" s="138"/>
      <c r="AB130" s="138"/>
      <c r="AC130" s="138"/>
      <c r="AD130" s="138"/>
      <c r="AE130" s="138"/>
      <c r="AF130" s="138"/>
      <c r="AG130" s="138"/>
      <c r="AH130" s="138"/>
      <c r="AI130" s="138"/>
      <c r="AJ130" s="138"/>
      <c r="AK130" s="138">
        <f t="shared" si="5"/>
        <v>0</v>
      </c>
      <c r="AL130" s="138"/>
      <c r="AM130" s="22">
        <v>3</v>
      </c>
      <c r="AO130" s="22">
        <v>63</v>
      </c>
    </row>
    <row r="131" spans="1:41" x14ac:dyDescent="0.35">
      <c r="A131" s="21">
        <v>90</v>
      </c>
      <c r="B131" s="37" t="s">
        <v>4</v>
      </c>
      <c r="C131" s="37" t="s">
        <v>152</v>
      </c>
      <c r="D131" s="38"/>
      <c r="E131" s="38"/>
      <c r="F131" s="38"/>
      <c r="G131" s="38"/>
      <c r="H131" s="38"/>
      <c r="I131" s="38"/>
      <c r="J131" s="39"/>
      <c r="K131" s="62">
        <v>224.02</v>
      </c>
      <c r="L131" s="64"/>
      <c r="M131" s="62"/>
      <c r="N131" s="64"/>
      <c r="O131" s="62">
        <f t="shared" si="4"/>
        <v>44.804000000000002</v>
      </c>
      <c r="P131" s="64"/>
      <c r="Q131" s="138"/>
      <c r="R131" s="138"/>
      <c r="S131" s="138"/>
      <c r="T131" s="138"/>
      <c r="U131" s="138"/>
      <c r="V131" s="138"/>
      <c r="W131" s="138"/>
      <c r="X131" s="138"/>
      <c r="Y131" s="138"/>
      <c r="Z131" s="138"/>
      <c r="AA131" s="138"/>
      <c r="AB131" s="138"/>
      <c r="AC131" s="138"/>
      <c r="AD131" s="138"/>
      <c r="AE131" s="138"/>
      <c r="AF131" s="138"/>
      <c r="AG131" s="138"/>
      <c r="AH131" s="138"/>
      <c r="AI131" s="138"/>
      <c r="AJ131" s="138"/>
      <c r="AK131" s="138">
        <f t="shared" si="5"/>
        <v>0</v>
      </c>
      <c r="AL131" s="138"/>
      <c r="AM131" s="22">
        <v>2</v>
      </c>
      <c r="AO131" s="22">
        <v>63</v>
      </c>
    </row>
    <row r="132" spans="1:41" x14ac:dyDescent="0.35">
      <c r="A132" s="21">
        <v>91</v>
      </c>
      <c r="B132" s="37" t="s">
        <v>4</v>
      </c>
      <c r="C132" s="37" t="s">
        <v>153</v>
      </c>
      <c r="D132" s="38"/>
      <c r="E132" s="38"/>
      <c r="F132" s="38"/>
      <c r="G132" s="38"/>
      <c r="H132" s="38"/>
      <c r="I132" s="38"/>
      <c r="J132" s="39"/>
      <c r="K132" s="62">
        <v>254.52</v>
      </c>
      <c r="L132" s="64"/>
      <c r="M132" s="62"/>
      <c r="N132" s="64"/>
      <c r="O132" s="62">
        <f t="shared" si="4"/>
        <v>50.904000000000003</v>
      </c>
      <c r="P132" s="64"/>
      <c r="Q132" s="138"/>
      <c r="R132" s="138"/>
      <c r="S132" s="138"/>
      <c r="T132" s="138"/>
      <c r="U132" s="138"/>
      <c r="V132" s="138"/>
      <c r="W132" s="138"/>
      <c r="X132" s="138"/>
      <c r="Y132" s="138"/>
      <c r="Z132" s="138"/>
      <c r="AA132" s="138"/>
      <c r="AB132" s="138"/>
      <c r="AC132" s="138"/>
      <c r="AD132" s="138"/>
      <c r="AE132" s="138"/>
      <c r="AF132" s="138"/>
      <c r="AG132" s="138"/>
      <c r="AH132" s="138"/>
      <c r="AI132" s="138"/>
      <c r="AJ132" s="138"/>
      <c r="AK132" s="138">
        <f t="shared" si="5"/>
        <v>0</v>
      </c>
      <c r="AL132" s="138"/>
      <c r="AM132" s="22">
        <v>3</v>
      </c>
      <c r="AO132" s="22">
        <v>64</v>
      </c>
    </row>
    <row r="133" spans="1:41" x14ac:dyDescent="0.35">
      <c r="A133" s="37">
        <v>92</v>
      </c>
      <c r="B133" s="37" t="s">
        <v>4</v>
      </c>
      <c r="C133" s="37" t="s">
        <v>154</v>
      </c>
      <c r="D133" s="38"/>
      <c r="E133" s="38"/>
      <c r="F133" s="38"/>
      <c r="G133" s="38"/>
      <c r="H133" s="38"/>
      <c r="I133" s="38"/>
      <c r="J133" s="39"/>
      <c r="K133" s="62">
        <v>254.52</v>
      </c>
      <c r="L133" s="64"/>
      <c r="M133" s="62"/>
      <c r="N133" s="64"/>
      <c r="O133" s="62">
        <f t="shared" si="4"/>
        <v>50.904000000000003</v>
      </c>
      <c r="P133" s="64"/>
      <c r="Q133" s="138"/>
      <c r="R133" s="138"/>
      <c r="S133" s="138"/>
      <c r="T133" s="138"/>
      <c r="U133" s="138"/>
      <c r="V133" s="138"/>
      <c r="W133" s="138"/>
      <c r="X133" s="138"/>
      <c r="Y133" s="138"/>
      <c r="Z133" s="138"/>
      <c r="AA133" s="138"/>
      <c r="AB133" s="138"/>
      <c r="AC133" s="138"/>
      <c r="AD133" s="138"/>
      <c r="AE133" s="138"/>
      <c r="AF133" s="138"/>
      <c r="AG133" s="138"/>
      <c r="AH133" s="138"/>
      <c r="AI133" s="138"/>
      <c r="AJ133" s="138"/>
      <c r="AK133" s="138">
        <f t="shared" si="5"/>
        <v>0</v>
      </c>
      <c r="AL133" s="138"/>
      <c r="AM133" s="22">
        <v>2</v>
      </c>
      <c r="AO133" s="22">
        <v>64</v>
      </c>
    </row>
    <row r="134" spans="1:41" x14ac:dyDescent="0.35">
      <c r="A134" s="37">
        <v>93</v>
      </c>
      <c r="B134" s="37" t="s">
        <v>4</v>
      </c>
      <c r="C134" s="37" t="s">
        <v>155</v>
      </c>
      <c r="D134" s="38"/>
      <c r="E134" s="38"/>
      <c r="F134" s="38"/>
      <c r="G134" s="38"/>
      <c r="H134" s="38"/>
      <c r="I134" s="38"/>
      <c r="J134" s="39"/>
      <c r="K134" s="62">
        <v>282.06</v>
      </c>
      <c r="L134" s="64"/>
      <c r="M134" s="62"/>
      <c r="N134" s="64"/>
      <c r="O134" s="62">
        <f t="shared" si="4"/>
        <v>56.412000000000006</v>
      </c>
      <c r="P134" s="64"/>
      <c r="Q134" s="138"/>
      <c r="R134" s="138"/>
      <c r="S134" s="138"/>
      <c r="T134" s="138"/>
      <c r="U134" s="138"/>
      <c r="V134" s="138"/>
      <c r="W134" s="138"/>
      <c r="X134" s="138"/>
      <c r="Y134" s="138"/>
      <c r="Z134" s="138"/>
      <c r="AA134" s="138"/>
      <c r="AB134" s="138"/>
      <c r="AC134" s="138"/>
      <c r="AD134" s="138"/>
      <c r="AE134" s="138"/>
      <c r="AF134" s="138"/>
      <c r="AG134" s="138"/>
      <c r="AH134" s="138"/>
      <c r="AI134" s="138"/>
      <c r="AJ134" s="138"/>
      <c r="AK134" s="138">
        <f t="shared" si="5"/>
        <v>0</v>
      </c>
      <c r="AL134" s="138"/>
      <c r="AM134" s="22">
        <v>3</v>
      </c>
      <c r="AO134" s="22">
        <v>65</v>
      </c>
    </row>
    <row r="135" spans="1:41" x14ac:dyDescent="0.35">
      <c r="A135" s="37">
        <v>94</v>
      </c>
      <c r="B135" s="37" t="s">
        <v>4</v>
      </c>
      <c r="C135" s="37" t="s">
        <v>156</v>
      </c>
      <c r="D135" s="38"/>
      <c r="E135" s="38"/>
      <c r="F135" s="38"/>
      <c r="G135" s="38"/>
      <c r="H135" s="38"/>
      <c r="I135" s="38"/>
      <c r="J135" s="39"/>
      <c r="K135" s="62">
        <v>281.18</v>
      </c>
      <c r="L135" s="64"/>
      <c r="M135" s="62"/>
      <c r="N135" s="64"/>
      <c r="O135" s="62">
        <f t="shared" si="4"/>
        <v>56.236000000000004</v>
      </c>
      <c r="P135" s="64"/>
      <c r="Q135" s="138"/>
      <c r="R135" s="138"/>
      <c r="S135" s="138"/>
      <c r="T135" s="138"/>
      <c r="U135" s="138"/>
      <c r="V135" s="138"/>
      <c r="W135" s="138"/>
      <c r="X135" s="138"/>
      <c r="Y135" s="138"/>
      <c r="Z135" s="138"/>
      <c r="AA135" s="138"/>
      <c r="AB135" s="138"/>
      <c r="AC135" s="138"/>
      <c r="AD135" s="138"/>
      <c r="AE135" s="138"/>
      <c r="AF135" s="138"/>
      <c r="AG135" s="138"/>
      <c r="AH135" s="138"/>
      <c r="AI135" s="138"/>
      <c r="AJ135" s="138"/>
      <c r="AK135" s="138">
        <f t="shared" si="5"/>
        <v>0</v>
      </c>
      <c r="AL135" s="138"/>
      <c r="AM135" s="22">
        <v>3</v>
      </c>
      <c r="AO135" s="22">
        <v>66</v>
      </c>
    </row>
    <row r="136" spans="1:41" x14ac:dyDescent="0.35">
      <c r="A136" s="37">
        <v>95</v>
      </c>
      <c r="B136" s="37" t="s">
        <v>4</v>
      </c>
      <c r="C136" s="37" t="s">
        <v>157</v>
      </c>
      <c r="D136" s="38"/>
      <c r="E136" s="38"/>
      <c r="F136" s="38"/>
      <c r="G136" s="38"/>
      <c r="H136" s="38"/>
      <c r="I136" s="38"/>
      <c r="J136" s="39"/>
      <c r="K136" s="62">
        <v>324.39</v>
      </c>
      <c r="L136" s="64"/>
      <c r="M136" s="62"/>
      <c r="N136" s="64"/>
      <c r="O136" s="62">
        <f t="shared" si="4"/>
        <v>64.878</v>
      </c>
      <c r="P136" s="64"/>
      <c r="Q136" s="138"/>
      <c r="R136" s="138"/>
      <c r="S136" s="138"/>
      <c r="T136" s="138"/>
      <c r="U136" s="138"/>
      <c r="V136" s="138"/>
      <c r="W136" s="138"/>
      <c r="X136" s="138"/>
      <c r="Y136" s="138"/>
      <c r="Z136" s="138"/>
      <c r="AA136" s="138"/>
      <c r="AB136" s="138"/>
      <c r="AC136" s="138"/>
      <c r="AD136" s="138"/>
      <c r="AE136" s="138"/>
      <c r="AF136" s="138"/>
      <c r="AG136" s="138"/>
      <c r="AH136" s="138"/>
      <c r="AI136" s="138"/>
      <c r="AJ136" s="138"/>
      <c r="AK136" s="138">
        <f t="shared" si="5"/>
        <v>0</v>
      </c>
      <c r="AL136" s="138"/>
      <c r="AM136" s="22">
        <v>3</v>
      </c>
      <c r="AO136" s="22">
        <v>67</v>
      </c>
    </row>
    <row r="137" spans="1:41" x14ac:dyDescent="0.35">
      <c r="A137" s="37">
        <v>96</v>
      </c>
      <c r="B137" s="37" t="s">
        <v>4</v>
      </c>
      <c r="C137" s="37" t="s">
        <v>158</v>
      </c>
      <c r="D137" s="38"/>
      <c r="E137" s="38"/>
      <c r="F137" s="38"/>
      <c r="G137" s="38"/>
      <c r="H137" s="38"/>
      <c r="I137" s="38"/>
      <c r="J137" s="39"/>
      <c r="K137" s="62">
        <v>333.21</v>
      </c>
      <c r="L137" s="64"/>
      <c r="M137" s="62"/>
      <c r="N137" s="64"/>
      <c r="O137" s="62">
        <f t="shared" si="4"/>
        <v>66.641999999999996</v>
      </c>
      <c r="P137" s="64"/>
      <c r="Q137" s="138"/>
      <c r="R137" s="138"/>
      <c r="S137" s="138"/>
      <c r="T137" s="138"/>
      <c r="U137" s="138"/>
      <c r="V137" s="138"/>
      <c r="W137" s="138"/>
      <c r="X137" s="138"/>
      <c r="Y137" s="138"/>
      <c r="Z137" s="138"/>
      <c r="AA137" s="138"/>
      <c r="AB137" s="138"/>
      <c r="AC137" s="138"/>
      <c r="AD137" s="138"/>
      <c r="AE137" s="138"/>
      <c r="AF137" s="138"/>
      <c r="AG137" s="138"/>
      <c r="AH137" s="138"/>
      <c r="AI137" s="138"/>
      <c r="AJ137" s="138"/>
      <c r="AK137" s="138">
        <f t="shared" si="5"/>
        <v>0</v>
      </c>
      <c r="AL137" s="138"/>
      <c r="AM137" s="22">
        <v>3</v>
      </c>
      <c r="AO137" s="22">
        <v>68</v>
      </c>
    </row>
    <row r="138" spans="1:41" x14ac:dyDescent="0.35">
      <c r="A138" s="21">
        <v>97</v>
      </c>
      <c r="B138" s="37" t="s">
        <v>4</v>
      </c>
      <c r="C138" s="37" t="s">
        <v>159</v>
      </c>
      <c r="D138" s="38"/>
      <c r="E138" s="38"/>
      <c r="F138" s="38"/>
      <c r="G138" s="38"/>
      <c r="H138" s="38"/>
      <c r="I138" s="38"/>
      <c r="J138" s="39"/>
      <c r="K138" s="62">
        <v>473.06</v>
      </c>
      <c r="L138" s="64"/>
      <c r="M138" s="62"/>
      <c r="N138" s="64"/>
      <c r="O138" s="62">
        <f t="shared" ref="O138:O157" si="6">(K138-M138)*0.2</f>
        <v>94.612000000000009</v>
      </c>
      <c r="P138" s="64"/>
      <c r="Q138" s="138"/>
      <c r="R138" s="138"/>
      <c r="S138" s="138"/>
      <c r="T138" s="138"/>
      <c r="U138" s="138"/>
      <c r="V138" s="138"/>
      <c r="W138" s="138"/>
      <c r="X138" s="138"/>
      <c r="Y138" s="138"/>
      <c r="Z138" s="138"/>
      <c r="AA138" s="138"/>
      <c r="AB138" s="138"/>
      <c r="AC138" s="138"/>
      <c r="AD138" s="138"/>
      <c r="AE138" s="138"/>
      <c r="AF138" s="138"/>
      <c r="AG138" s="138"/>
      <c r="AH138" s="138"/>
      <c r="AI138" s="138"/>
      <c r="AJ138" s="138"/>
      <c r="AK138" s="138">
        <f t="shared" ref="AK138:AK158" si="7">Q138+T138+W138</f>
        <v>0</v>
      </c>
      <c r="AL138" s="138"/>
      <c r="AM138" s="22">
        <v>3</v>
      </c>
      <c r="AO138" s="22">
        <v>69</v>
      </c>
    </row>
    <row r="139" spans="1:41" x14ac:dyDescent="0.35">
      <c r="A139" s="21">
        <v>98</v>
      </c>
      <c r="B139" s="37" t="s">
        <v>4</v>
      </c>
      <c r="C139" s="37" t="s">
        <v>160</v>
      </c>
      <c r="D139" s="38"/>
      <c r="E139" s="38"/>
      <c r="F139" s="38"/>
      <c r="G139" s="38"/>
      <c r="H139" s="38"/>
      <c r="I139" s="38"/>
      <c r="J139" s="39"/>
      <c r="K139" s="62">
        <v>570.22</v>
      </c>
      <c r="L139" s="64"/>
      <c r="M139" s="62"/>
      <c r="N139" s="64"/>
      <c r="O139" s="62">
        <f t="shared" si="6"/>
        <v>114.04400000000001</v>
      </c>
      <c r="P139" s="64"/>
      <c r="Q139" s="138"/>
      <c r="R139" s="138"/>
      <c r="S139" s="138"/>
      <c r="T139" s="138"/>
      <c r="U139" s="138"/>
      <c r="V139" s="138"/>
      <c r="W139" s="138"/>
      <c r="X139" s="138"/>
      <c r="Y139" s="138"/>
      <c r="Z139" s="138"/>
      <c r="AA139" s="138"/>
      <c r="AB139" s="138"/>
      <c r="AC139" s="138"/>
      <c r="AD139" s="138"/>
      <c r="AE139" s="138"/>
      <c r="AF139" s="138"/>
      <c r="AG139" s="138"/>
      <c r="AH139" s="138"/>
      <c r="AI139" s="138"/>
      <c r="AJ139" s="138"/>
      <c r="AK139" s="138">
        <f t="shared" si="7"/>
        <v>0</v>
      </c>
      <c r="AL139" s="138"/>
      <c r="AM139" s="22">
        <v>3</v>
      </c>
      <c r="AO139" s="22">
        <v>70</v>
      </c>
    </row>
    <row r="140" spans="1:41" x14ac:dyDescent="0.35">
      <c r="A140" s="37">
        <v>99</v>
      </c>
      <c r="B140" s="37" t="s">
        <v>4</v>
      </c>
      <c r="C140" s="37" t="s">
        <v>161</v>
      </c>
      <c r="D140" s="38"/>
      <c r="E140" s="38"/>
      <c r="F140" s="38"/>
      <c r="G140" s="38"/>
      <c r="H140" s="38"/>
      <c r="I140" s="38"/>
      <c r="J140" s="39"/>
      <c r="K140" s="62">
        <v>734.80000000000007</v>
      </c>
      <c r="L140" s="64"/>
      <c r="M140" s="62"/>
      <c r="N140" s="64"/>
      <c r="O140" s="62">
        <f t="shared" si="6"/>
        <v>146.96</v>
      </c>
      <c r="P140" s="64"/>
      <c r="Q140" s="138"/>
      <c r="R140" s="138"/>
      <c r="S140" s="138"/>
      <c r="T140" s="138"/>
      <c r="U140" s="138"/>
      <c r="V140" s="138"/>
      <c r="W140" s="138"/>
      <c r="X140" s="138"/>
      <c r="Y140" s="138"/>
      <c r="Z140" s="138"/>
      <c r="AA140" s="138"/>
      <c r="AB140" s="138"/>
      <c r="AC140" s="138"/>
      <c r="AD140" s="138"/>
      <c r="AE140" s="138"/>
      <c r="AF140" s="138"/>
      <c r="AG140" s="138"/>
      <c r="AH140" s="138"/>
      <c r="AI140" s="138"/>
      <c r="AJ140" s="138"/>
      <c r="AK140" s="138">
        <f t="shared" si="7"/>
        <v>0</v>
      </c>
      <c r="AL140" s="138"/>
      <c r="AM140" s="22">
        <v>3</v>
      </c>
      <c r="AO140" s="22">
        <v>71</v>
      </c>
    </row>
    <row r="141" spans="1:41" x14ac:dyDescent="0.35">
      <c r="A141" s="37">
        <v>100</v>
      </c>
      <c r="B141" s="37" t="s">
        <v>63</v>
      </c>
      <c r="C141" s="37" t="s">
        <v>162</v>
      </c>
      <c r="D141" s="38"/>
      <c r="E141" s="38"/>
      <c r="F141" s="38"/>
      <c r="G141" s="38"/>
      <c r="H141" s="38"/>
      <c r="I141" s="38"/>
      <c r="J141" s="39"/>
      <c r="K141" s="62">
        <v>319.98</v>
      </c>
      <c r="L141" s="64"/>
      <c r="M141" s="62"/>
      <c r="N141" s="64"/>
      <c r="O141" s="62">
        <f t="shared" si="6"/>
        <v>63.996000000000009</v>
      </c>
      <c r="P141" s="64"/>
      <c r="Q141" s="138"/>
      <c r="R141" s="138"/>
      <c r="S141" s="138"/>
      <c r="T141" s="138"/>
      <c r="U141" s="138"/>
      <c r="V141" s="138"/>
      <c r="W141" s="138"/>
      <c r="X141" s="138"/>
      <c r="Y141" s="138"/>
      <c r="Z141" s="138"/>
      <c r="AA141" s="138"/>
      <c r="AB141" s="138"/>
      <c r="AC141" s="138"/>
      <c r="AD141" s="138"/>
      <c r="AE141" s="138"/>
      <c r="AF141" s="138"/>
      <c r="AG141" s="138"/>
      <c r="AH141" s="138"/>
      <c r="AI141" s="138"/>
      <c r="AJ141" s="138"/>
      <c r="AK141" s="138">
        <f t="shared" si="7"/>
        <v>0</v>
      </c>
      <c r="AL141" s="138"/>
      <c r="AM141" s="22">
        <v>2</v>
      </c>
      <c r="AO141" s="22">
        <v>74</v>
      </c>
    </row>
    <row r="142" spans="1:41" x14ac:dyDescent="0.35">
      <c r="A142" s="37">
        <v>101</v>
      </c>
      <c r="B142" s="37" t="s">
        <v>63</v>
      </c>
      <c r="C142" s="37" t="s">
        <v>163</v>
      </c>
      <c r="D142" s="38"/>
      <c r="E142" s="38"/>
      <c r="F142" s="38"/>
      <c r="G142" s="38"/>
      <c r="H142" s="38"/>
      <c r="I142" s="38"/>
      <c r="J142" s="39"/>
      <c r="K142" s="62">
        <v>319.98</v>
      </c>
      <c r="L142" s="64"/>
      <c r="M142" s="62"/>
      <c r="N142" s="64"/>
      <c r="O142" s="62">
        <f t="shared" si="6"/>
        <v>63.996000000000009</v>
      </c>
      <c r="P142" s="64"/>
      <c r="Q142" s="138"/>
      <c r="R142" s="138"/>
      <c r="S142" s="138"/>
      <c r="T142" s="138"/>
      <c r="U142" s="138"/>
      <c r="V142" s="138"/>
      <c r="W142" s="138"/>
      <c r="X142" s="138"/>
      <c r="Y142" s="138"/>
      <c r="Z142" s="138"/>
      <c r="AA142" s="138"/>
      <c r="AB142" s="138"/>
      <c r="AC142" s="138"/>
      <c r="AD142" s="138"/>
      <c r="AE142" s="138"/>
      <c r="AF142" s="138"/>
      <c r="AG142" s="138"/>
      <c r="AH142" s="138"/>
      <c r="AI142" s="138"/>
      <c r="AJ142" s="138"/>
      <c r="AK142" s="138">
        <f t="shared" si="7"/>
        <v>0</v>
      </c>
      <c r="AL142" s="138"/>
      <c r="AM142" s="22">
        <v>3</v>
      </c>
      <c r="AO142" s="22">
        <v>74</v>
      </c>
    </row>
    <row r="143" spans="1:41" x14ac:dyDescent="0.35">
      <c r="A143" s="37">
        <v>102</v>
      </c>
      <c r="B143" s="37" t="s">
        <v>63</v>
      </c>
      <c r="C143" s="37" t="s">
        <v>164</v>
      </c>
      <c r="D143" s="38"/>
      <c r="E143" s="38"/>
      <c r="F143" s="38"/>
      <c r="G143" s="38"/>
      <c r="H143" s="38"/>
      <c r="I143" s="38"/>
      <c r="J143" s="39"/>
      <c r="K143" s="62">
        <v>425.45</v>
      </c>
      <c r="L143" s="64"/>
      <c r="M143" s="62"/>
      <c r="N143" s="64"/>
      <c r="O143" s="62">
        <f t="shared" si="6"/>
        <v>85.09</v>
      </c>
      <c r="P143" s="64"/>
      <c r="Q143" s="138"/>
      <c r="R143" s="138"/>
      <c r="S143" s="138"/>
      <c r="T143" s="138"/>
      <c r="U143" s="138"/>
      <c r="V143" s="138"/>
      <c r="W143" s="138"/>
      <c r="X143" s="138"/>
      <c r="Y143" s="138"/>
      <c r="Z143" s="138"/>
      <c r="AA143" s="138"/>
      <c r="AB143" s="138"/>
      <c r="AC143" s="138"/>
      <c r="AD143" s="138"/>
      <c r="AE143" s="138"/>
      <c r="AF143" s="138"/>
      <c r="AG143" s="138"/>
      <c r="AH143" s="138"/>
      <c r="AI143" s="138"/>
      <c r="AJ143" s="138"/>
      <c r="AK143" s="138">
        <f t="shared" si="7"/>
        <v>0</v>
      </c>
      <c r="AL143" s="138"/>
      <c r="AM143" s="22">
        <v>2</v>
      </c>
      <c r="AO143" s="22">
        <v>72</v>
      </c>
    </row>
    <row r="144" spans="1:41" x14ac:dyDescent="0.35">
      <c r="A144" s="37">
        <v>103</v>
      </c>
      <c r="B144" s="37" t="s">
        <v>63</v>
      </c>
      <c r="C144" s="37" t="s">
        <v>165</v>
      </c>
      <c r="D144" s="38"/>
      <c r="E144" s="38"/>
      <c r="F144" s="38"/>
      <c r="G144" s="38"/>
      <c r="H144" s="38"/>
      <c r="I144" s="38"/>
      <c r="J144" s="39"/>
      <c r="K144" s="62">
        <v>425.45</v>
      </c>
      <c r="L144" s="64"/>
      <c r="M144" s="62"/>
      <c r="N144" s="64"/>
      <c r="O144" s="62">
        <f t="shared" si="6"/>
        <v>85.09</v>
      </c>
      <c r="P144" s="64"/>
      <c r="Q144" s="138"/>
      <c r="R144" s="138"/>
      <c r="S144" s="138"/>
      <c r="T144" s="138"/>
      <c r="U144" s="138"/>
      <c r="V144" s="138"/>
      <c r="W144" s="138"/>
      <c r="X144" s="138"/>
      <c r="Y144" s="138"/>
      <c r="Z144" s="138"/>
      <c r="AA144" s="138"/>
      <c r="AB144" s="138"/>
      <c r="AC144" s="138"/>
      <c r="AD144" s="138"/>
      <c r="AE144" s="138"/>
      <c r="AF144" s="138"/>
      <c r="AG144" s="138"/>
      <c r="AH144" s="138"/>
      <c r="AI144" s="138"/>
      <c r="AJ144" s="138"/>
      <c r="AK144" s="138">
        <f t="shared" si="7"/>
        <v>0</v>
      </c>
      <c r="AL144" s="138"/>
      <c r="AM144" s="22">
        <v>3</v>
      </c>
      <c r="AO144" s="22">
        <v>72</v>
      </c>
    </row>
    <row r="145" spans="1:41" x14ac:dyDescent="0.35">
      <c r="A145" s="21">
        <v>104</v>
      </c>
      <c r="B145" s="37" t="s">
        <v>63</v>
      </c>
      <c r="C145" s="37" t="s">
        <v>166</v>
      </c>
      <c r="D145" s="38"/>
      <c r="E145" s="38"/>
      <c r="F145" s="38"/>
      <c r="G145" s="38"/>
      <c r="H145" s="38"/>
      <c r="I145" s="38"/>
      <c r="J145" s="39"/>
      <c r="K145" s="62">
        <v>287.31</v>
      </c>
      <c r="L145" s="64"/>
      <c r="M145" s="62"/>
      <c r="N145" s="64"/>
      <c r="O145" s="62">
        <f t="shared" si="6"/>
        <v>57.462000000000003</v>
      </c>
      <c r="P145" s="64"/>
      <c r="Q145" s="138"/>
      <c r="R145" s="138"/>
      <c r="S145" s="138"/>
      <c r="T145" s="138"/>
      <c r="U145" s="138"/>
      <c r="V145" s="138"/>
      <c r="W145" s="138"/>
      <c r="X145" s="138"/>
      <c r="Y145" s="138"/>
      <c r="Z145" s="138"/>
      <c r="AA145" s="138"/>
      <c r="AB145" s="138"/>
      <c r="AC145" s="138"/>
      <c r="AD145" s="138"/>
      <c r="AE145" s="138"/>
      <c r="AF145" s="138"/>
      <c r="AG145" s="138"/>
      <c r="AH145" s="138"/>
      <c r="AI145" s="138"/>
      <c r="AJ145" s="138"/>
      <c r="AK145" s="138">
        <f t="shared" si="7"/>
        <v>0</v>
      </c>
      <c r="AL145" s="138"/>
      <c r="AM145" s="22">
        <v>2</v>
      </c>
      <c r="AO145" s="22">
        <v>73</v>
      </c>
    </row>
    <row r="146" spans="1:41" x14ac:dyDescent="0.35">
      <c r="A146" s="21">
        <v>105</v>
      </c>
      <c r="B146" s="37" t="s">
        <v>63</v>
      </c>
      <c r="C146" s="37" t="s">
        <v>167</v>
      </c>
      <c r="D146" s="38"/>
      <c r="E146" s="38"/>
      <c r="F146" s="38"/>
      <c r="G146" s="38"/>
      <c r="H146" s="38"/>
      <c r="I146" s="38"/>
      <c r="J146" s="39"/>
      <c r="K146" s="62">
        <v>287.31</v>
      </c>
      <c r="L146" s="64"/>
      <c r="M146" s="62"/>
      <c r="N146" s="64"/>
      <c r="O146" s="62">
        <f t="shared" si="6"/>
        <v>57.462000000000003</v>
      </c>
      <c r="P146" s="64"/>
      <c r="Q146" s="145"/>
      <c r="R146" s="145"/>
      <c r="S146" s="145"/>
      <c r="T146" s="145"/>
      <c r="U146" s="145"/>
      <c r="V146" s="145"/>
      <c r="W146" s="145"/>
      <c r="X146" s="145"/>
      <c r="Y146" s="145"/>
      <c r="Z146" s="145"/>
      <c r="AA146" s="145"/>
      <c r="AB146" s="145"/>
      <c r="AC146" s="145"/>
      <c r="AD146" s="145"/>
      <c r="AE146" s="145"/>
      <c r="AF146" s="145"/>
      <c r="AG146" s="145"/>
      <c r="AH146" s="145"/>
      <c r="AI146" s="145"/>
      <c r="AJ146" s="145"/>
      <c r="AK146" s="145">
        <f t="shared" si="7"/>
        <v>0</v>
      </c>
      <c r="AL146" s="145"/>
      <c r="AM146" s="22">
        <v>3</v>
      </c>
      <c r="AO146" s="22">
        <v>73</v>
      </c>
    </row>
    <row r="147" spans="1:41" x14ac:dyDescent="0.35">
      <c r="A147" s="37">
        <v>106</v>
      </c>
      <c r="B147" s="37"/>
      <c r="C147" s="37"/>
      <c r="D147" s="38"/>
      <c r="E147" s="38"/>
      <c r="F147" s="38"/>
      <c r="G147" s="38"/>
      <c r="H147" s="38"/>
      <c r="I147" s="38"/>
      <c r="J147" s="39"/>
      <c r="K147" s="62"/>
      <c r="L147" s="64"/>
      <c r="M147" s="62"/>
      <c r="N147" s="64"/>
      <c r="O147" s="62">
        <f t="shared" si="6"/>
        <v>0</v>
      </c>
      <c r="P147" s="64"/>
      <c r="Q147" s="145"/>
      <c r="R147" s="145"/>
      <c r="S147" s="145"/>
      <c r="T147" s="145"/>
      <c r="U147" s="145"/>
      <c r="V147" s="145"/>
      <c r="W147" s="145"/>
      <c r="X147" s="145"/>
      <c r="Y147" s="145"/>
      <c r="Z147" s="145"/>
      <c r="AA147" s="145"/>
      <c r="AB147" s="145"/>
      <c r="AC147" s="145"/>
      <c r="AD147" s="145"/>
      <c r="AE147" s="145"/>
      <c r="AF147" s="145"/>
      <c r="AG147" s="145"/>
      <c r="AH147" s="145"/>
      <c r="AI147" s="145"/>
      <c r="AJ147" s="145"/>
      <c r="AK147" s="145">
        <f t="shared" si="7"/>
        <v>0</v>
      </c>
      <c r="AL147" s="145"/>
      <c r="AO147" s="22"/>
    </row>
    <row r="148" spans="1:41" x14ac:dyDescent="0.35">
      <c r="A148" s="37">
        <v>107</v>
      </c>
      <c r="B148" s="37"/>
      <c r="C148" s="37"/>
      <c r="D148" s="38"/>
      <c r="E148" s="38"/>
      <c r="F148" s="38"/>
      <c r="G148" s="38"/>
      <c r="H148" s="38"/>
      <c r="I148" s="38"/>
      <c r="J148" s="39"/>
      <c r="K148" s="62"/>
      <c r="L148" s="64"/>
      <c r="M148" s="62"/>
      <c r="N148" s="64"/>
      <c r="O148" s="62">
        <f t="shared" si="6"/>
        <v>0</v>
      </c>
      <c r="P148" s="64"/>
      <c r="Q148" s="145"/>
      <c r="R148" s="145"/>
      <c r="S148" s="145"/>
      <c r="T148" s="145"/>
      <c r="U148" s="145"/>
      <c r="V148" s="145"/>
      <c r="W148" s="145"/>
      <c r="X148" s="145"/>
      <c r="Y148" s="145"/>
      <c r="Z148" s="145"/>
      <c r="AA148" s="145"/>
      <c r="AB148" s="145"/>
      <c r="AC148" s="145"/>
      <c r="AD148" s="145"/>
      <c r="AE148" s="145"/>
      <c r="AF148" s="145"/>
      <c r="AG148" s="145"/>
      <c r="AH148" s="145"/>
      <c r="AI148" s="145"/>
      <c r="AJ148" s="145"/>
      <c r="AK148" s="145">
        <f t="shared" si="7"/>
        <v>0</v>
      </c>
      <c r="AL148" s="145"/>
      <c r="AO148" s="22"/>
    </row>
    <row r="149" spans="1:41" x14ac:dyDescent="0.35">
      <c r="A149" s="37">
        <v>108</v>
      </c>
      <c r="B149" s="37"/>
      <c r="C149" s="37"/>
      <c r="D149" s="38"/>
      <c r="E149" s="38"/>
      <c r="F149" s="38"/>
      <c r="G149" s="38"/>
      <c r="H149" s="38"/>
      <c r="I149" s="38"/>
      <c r="J149" s="39"/>
      <c r="K149" s="62"/>
      <c r="L149" s="64"/>
      <c r="M149" s="62"/>
      <c r="N149" s="64"/>
      <c r="O149" s="62">
        <f t="shared" si="6"/>
        <v>0</v>
      </c>
      <c r="P149" s="64"/>
      <c r="Q149" s="145"/>
      <c r="R149" s="145"/>
      <c r="S149" s="145"/>
      <c r="T149" s="145"/>
      <c r="U149" s="145"/>
      <c r="V149" s="145"/>
      <c r="W149" s="145"/>
      <c r="X149" s="145"/>
      <c r="Y149" s="145"/>
      <c r="Z149" s="145"/>
      <c r="AA149" s="145"/>
      <c r="AB149" s="145"/>
      <c r="AC149" s="145"/>
      <c r="AD149" s="145"/>
      <c r="AE149" s="145"/>
      <c r="AF149" s="145"/>
      <c r="AG149" s="145"/>
      <c r="AH149" s="145"/>
      <c r="AI149" s="145"/>
      <c r="AJ149" s="145"/>
      <c r="AK149" s="145">
        <f t="shared" si="7"/>
        <v>0</v>
      </c>
      <c r="AL149" s="145"/>
      <c r="AO149" s="22"/>
    </row>
    <row r="150" spans="1:41" x14ac:dyDescent="0.35">
      <c r="A150" s="37">
        <v>109</v>
      </c>
      <c r="B150" s="37"/>
      <c r="C150" s="37"/>
      <c r="D150" s="38"/>
      <c r="E150" s="38"/>
      <c r="F150" s="38"/>
      <c r="G150" s="38"/>
      <c r="H150" s="38"/>
      <c r="I150" s="38"/>
      <c r="J150" s="39"/>
      <c r="K150" s="62"/>
      <c r="L150" s="64"/>
      <c r="M150" s="62"/>
      <c r="N150" s="64"/>
      <c r="O150" s="62">
        <f t="shared" si="6"/>
        <v>0</v>
      </c>
      <c r="P150" s="64"/>
      <c r="Q150" s="145"/>
      <c r="R150" s="145"/>
      <c r="S150" s="145"/>
      <c r="T150" s="145"/>
      <c r="U150" s="145"/>
      <c r="V150" s="145"/>
      <c r="W150" s="145"/>
      <c r="X150" s="145"/>
      <c r="Y150" s="145"/>
      <c r="Z150" s="145"/>
      <c r="AA150" s="145"/>
      <c r="AB150" s="145"/>
      <c r="AC150" s="145"/>
      <c r="AD150" s="145"/>
      <c r="AE150" s="145"/>
      <c r="AF150" s="145"/>
      <c r="AG150" s="145"/>
      <c r="AH150" s="145"/>
      <c r="AI150" s="145"/>
      <c r="AJ150" s="145"/>
      <c r="AK150" s="145">
        <f t="shared" si="7"/>
        <v>0</v>
      </c>
      <c r="AL150" s="145"/>
      <c r="AO150" s="22"/>
    </row>
    <row r="151" spans="1:41" x14ac:dyDescent="0.35">
      <c r="A151" s="37">
        <v>110</v>
      </c>
      <c r="B151" s="37"/>
      <c r="C151" s="37"/>
      <c r="D151" s="38"/>
      <c r="E151" s="38"/>
      <c r="F151" s="38"/>
      <c r="G151" s="38"/>
      <c r="H151" s="38"/>
      <c r="I151" s="38"/>
      <c r="J151" s="39"/>
      <c r="K151" s="62"/>
      <c r="L151" s="64"/>
      <c r="M151" s="62"/>
      <c r="N151" s="64"/>
      <c r="O151" s="62">
        <f t="shared" si="6"/>
        <v>0</v>
      </c>
      <c r="P151" s="64"/>
      <c r="Q151" s="145"/>
      <c r="R151" s="145"/>
      <c r="S151" s="145"/>
      <c r="T151" s="145"/>
      <c r="U151" s="145"/>
      <c r="V151" s="145"/>
      <c r="W151" s="145"/>
      <c r="X151" s="145"/>
      <c r="Y151" s="145"/>
      <c r="Z151" s="145"/>
      <c r="AA151" s="145"/>
      <c r="AB151" s="145"/>
      <c r="AC151" s="145"/>
      <c r="AD151" s="145"/>
      <c r="AE151" s="145"/>
      <c r="AF151" s="145"/>
      <c r="AG151" s="145"/>
      <c r="AH151" s="145"/>
      <c r="AI151" s="145"/>
      <c r="AJ151" s="145"/>
      <c r="AK151" s="145">
        <f t="shared" si="7"/>
        <v>0</v>
      </c>
      <c r="AL151" s="145"/>
      <c r="AO151" s="22"/>
    </row>
    <row r="152" spans="1:41" x14ac:dyDescent="0.35">
      <c r="A152" s="21">
        <v>111</v>
      </c>
      <c r="B152" s="37"/>
      <c r="C152" s="37"/>
      <c r="D152" s="38"/>
      <c r="E152" s="38"/>
      <c r="F152" s="38"/>
      <c r="G152" s="38"/>
      <c r="H152" s="38"/>
      <c r="I152" s="38"/>
      <c r="J152" s="39"/>
      <c r="K152" s="62"/>
      <c r="L152" s="64"/>
      <c r="M152" s="62"/>
      <c r="N152" s="64"/>
      <c r="O152" s="62">
        <f t="shared" si="6"/>
        <v>0</v>
      </c>
      <c r="P152" s="64"/>
      <c r="Q152" s="145"/>
      <c r="R152" s="145"/>
      <c r="S152" s="145"/>
      <c r="T152" s="145"/>
      <c r="U152" s="145"/>
      <c r="V152" s="145"/>
      <c r="W152" s="145"/>
      <c r="X152" s="145"/>
      <c r="Y152" s="145"/>
      <c r="Z152" s="145"/>
      <c r="AA152" s="145"/>
      <c r="AB152" s="145"/>
      <c r="AC152" s="145"/>
      <c r="AD152" s="145"/>
      <c r="AE152" s="145"/>
      <c r="AF152" s="145"/>
      <c r="AG152" s="145"/>
      <c r="AH152" s="145"/>
      <c r="AI152" s="145"/>
      <c r="AJ152" s="145"/>
      <c r="AK152" s="145">
        <f t="shared" si="7"/>
        <v>0</v>
      </c>
      <c r="AL152" s="145"/>
      <c r="AO152" s="22"/>
    </row>
    <row r="153" spans="1:41" x14ac:dyDescent="0.35">
      <c r="A153" s="21">
        <v>112</v>
      </c>
      <c r="B153" s="37"/>
      <c r="C153" s="37"/>
      <c r="D153" s="38"/>
      <c r="E153" s="38"/>
      <c r="F153" s="38"/>
      <c r="G153" s="38"/>
      <c r="H153" s="38"/>
      <c r="I153" s="38"/>
      <c r="J153" s="39"/>
      <c r="K153" s="62"/>
      <c r="L153" s="64"/>
      <c r="M153" s="62"/>
      <c r="N153" s="64"/>
      <c r="O153" s="62">
        <f t="shared" si="6"/>
        <v>0</v>
      </c>
      <c r="P153" s="64"/>
      <c r="Q153" s="145"/>
      <c r="R153" s="145"/>
      <c r="S153" s="145"/>
      <c r="T153" s="145"/>
      <c r="U153" s="145"/>
      <c r="V153" s="145"/>
      <c r="W153" s="145"/>
      <c r="X153" s="145"/>
      <c r="Y153" s="145"/>
      <c r="Z153" s="145"/>
      <c r="AA153" s="145"/>
      <c r="AB153" s="145"/>
      <c r="AC153" s="145"/>
      <c r="AD153" s="145"/>
      <c r="AE153" s="145"/>
      <c r="AF153" s="145"/>
      <c r="AG153" s="145"/>
      <c r="AH153" s="145"/>
      <c r="AI153" s="145"/>
      <c r="AJ153" s="145"/>
      <c r="AK153" s="145">
        <f t="shared" si="7"/>
        <v>0</v>
      </c>
      <c r="AL153" s="145"/>
      <c r="AO153" s="22"/>
    </row>
    <row r="154" spans="1:41" x14ac:dyDescent="0.35">
      <c r="A154" s="37">
        <v>113</v>
      </c>
      <c r="B154" s="37"/>
      <c r="C154" s="37"/>
      <c r="D154" s="38"/>
      <c r="E154" s="38"/>
      <c r="F154" s="38"/>
      <c r="G154" s="38"/>
      <c r="H154" s="38"/>
      <c r="I154" s="38"/>
      <c r="J154" s="39"/>
      <c r="K154" s="62"/>
      <c r="L154" s="64"/>
      <c r="M154" s="62"/>
      <c r="N154" s="64"/>
      <c r="O154" s="62">
        <f t="shared" si="6"/>
        <v>0</v>
      </c>
      <c r="P154" s="64"/>
      <c r="Q154" s="145"/>
      <c r="R154" s="145"/>
      <c r="S154" s="145"/>
      <c r="T154" s="145"/>
      <c r="U154" s="145"/>
      <c r="V154" s="145"/>
      <c r="W154" s="145"/>
      <c r="X154" s="145"/>
      <c r="Y154" s="145"/>
      <c r="Z154" s="145"/>
      <c r="AA154" s="145"/>
      <c r="AB154" s="145"/>
      <c r="AC154" s="145"/>
      <c r="AD154" s="145"/>
      <c r="AE154" s="145"/>
      <c r="AF154" s="145"/>
      <c r="AG154" s="145"/>
      <c r="AH154" s="145"/>
      <c r="AI154" s="145"/>
      <c r="AJ154" s="145"/>
      <c r="AK154" s="145">
        <f t="shared" si="7"/>
        <v>0</v>
      </c>
      <c r="AL154" s="145"/>
      <c r="AO154" s="22"/>
    </row>
    <row r="155" spans="1:41" x14ac:dyDescent="0.35">
      <c r="A155" s="37">
        <v>114</v>
      </c>
      <c r="B155" s="37"/>
      <c r="C155" s="37"/>
      <c r="D155" s="38"/>
      <c r="E155" s="38"/>
      <c r="F155" s="38"/>
      <c r="G155" s="38"/>
      <c r="H155" s="38"/>
      <c r="I155" s="38"/>
      <c r="J155" s="39"/>
      <c r="K155" s="62"/>
      <c r="L155" s="64"/>
      <c r="M155" s="62"/>
      <c r="N155" s="64"/>
      <c r="O155" s="62">
        <f t="shared" si="6"/>
        <v>0</v>
      </c>
      <c r="P155" s="64"/>
      <c r="Q155" s="145"/>
      <c r="R155" s="145"/>
      <c r="S155" s="145"/>
      <c r="T155" s="145"/>
      <c r="U155" s="145"/>
      <c r="V155" s="145"/>
      <c r="W155" s="145"/>
      <c r="X155" s="145"/>
      <c r="Y155" s="145"/>
      <c r="Z155" s="145"/>
      <c r="AA155" s="145"/>
      <c r="AB155" s="145"/>
      <c r="AC155" s="145"/>
      <c r="AD155" s="145"/>
      <c r="AE155" s="145"/>
      <c r="AF155" s="145"/>
      <c r="AG155" s="145"/>
      <c r="AH155" s="145"/>
      <c r="AI155" s="145"/>
      <c r="AJ155" s="145"/>
      <c r="AK155" s="145">
        <f t="shared" si="7"/>
        <v>0</v>
      </c>
      <c r="AL155" s="145"/>
      <c r="AO155" s="22"/>
    </row>
    <row r="156" spans="1:41" x14ac:dyDescent="0.35">
      <c r="A156" s="37">
        <v>115</v>
      </c>
      <c r="B156" s="37"/>
      <c r="C156" s="37"/>
      <c r="D156" s="38"/>
      <c r="E156" s="38"/>
      <c r="F156" s="38"/>
      <c r="G156" s="38"/>
      <c r="H156" s="38"/>
      <c r="I156" s="38"/>
      <c r="J156" s="39"/>
      <c r="K156" s="62"/>
      <c r="L156" s="64"/>
      <c r="M156" s="62"/>
      <c r="N156" s="64"/>
      <c r="O156" s="62">
        <f t="shared" si="6"/>
        <v>0</v>
      </c>
      <c r="P156" s="64"/>
      <c r="Q156" s="145"/>
      <c r="R156" s="145"/>
      <c r="S156" s="145"/>
      <c r="T156" s="145"/>
      <c r="U156" s="145"/>
      <c r="V156" s="145"/>
      <c r="W156" s="145"/>
      <c r="X156" s="145"/>
      <c r="Y156" s="145"/>
      <c r="Z156" s="145"/>
      <c r="AA156" s="145"/>
      <c r="AB156" s="145"/>
      <c r="AC156" s="145"/>
      <c r="AD156" s="145"/>
      <c r="AE156" s="145"/>
      <c r="AF156" s="145"/>
      <c r="AG156" s="145"/>
      <c r="AH156" s="145"/>
      <c r="AI156" s="145"/>
      <c r="AJ156" s="145"/>
      <c r="AK156" s="145">
        <f t="shared" si="7"/>
        <v>0</v>
      </c>
      <c r="AL156" s="145"/>
      <c r="AO156" s="22"/>
    </row>
    <row r="157" spans="1:41" x14ac:dyDescent="0.35">
      <c r="A157" s="37">
        <v>116</v>
      </c>
      <c r="B157" s="37"/>
      <c r="C157" s="37"/>
      <c r="D157" s="38"/>
      <c r="E157" s="38"/>
      <c r="F157" s="38"/>
      <c r="G157" s="38"/>
      <c r="H157" s="38"/>
      <c r="I157" s="38"/>
      <c r="J157" s="39"/>
      <c r="K157" s="62"/>
      <c r="L157" s="64"/>
      <c r="M157" s="62"/>
      <c r="N157" s="64"/>
      <c r="O157" s="62">
        <f t="shared" si="6"/>
        <v>0</v>
      </c>
      <c r="P157" s="64"/>
      <c r="Q157" s="145"/>
      <c r="R157" s="145"/>
      <c r="S157" s="145"/>
      <c r="T157" s="145"/>
      <c r="U157" s="145"/>
      <c r="V157" s="145"/>
      <c r="W157" s="145"/>
      <c r="X157" s="145"/>
      <c r="Y157" s="145"/>
      <c r="Z157" s="145"/>
      <c r="AA157" s="145"/>
      <c r="AB157" s="145"/>
      <c r="AC157" s="145"/>
      <c r="AD157" s="145"/>
      <c r="AE157" s="145"/>
      <c r="AF157" s="145"/>
      <c r="AG157" s="145"/>
      <c r="AH157" s="145"/>
      <c r="AI157" s="145"/>
      <c r="AJ157" s="145"/>
      <c r="AK157" s="145">
        <f t="shared" si="7"/>
        <v>0</v>
      </c>
      <c r="AL157" s="145"/>
      <c r="AO157" s="22"/>
    </row>
    <row r="158" spans="1:41" x14ac:dyDescent="0.35">
      <c r="A158" s="37">
        <v>117</v>
      </c>
      <c r="B158" s="37"/>
      <c r="C158" s="37"/>
      <c r="D158" s="38"/>
      <c r="E158" s="38"/>
      <c r="F158" s="38"/>
      <c r="G158" s="38"/>
      <c r="H158" s="38"/>
      <c r="I158" s="38"/>
      <c r="J158" s="39"/>
      <c r="K158" s="62"/>
      <c r="L158" s="64"/>
      <c r="M158" s="62"/>
      <c r="N158" s="64"/>
      <c r="O158" s="62"/>
      <c r="P158" s="64"/>
      <c r="Q158" s="145"/>
      <c r="R158" s="145"/>
      <c r="S158" s="145"/>
      <c r="T158" s="145"/>
      <c r="U158" s="145"/>
      <c r="V158" s="145"/>
      <c r="W158" s="145"/>
      <c r="X158" s="145"/>
      <c r="Y158" s="145"/>
      <c r="Z158" s="145"/>
      <c r="AA158" s="145"/>
      <c r="AB158" s="145"/>
      <c r="AC158" s="145"/>
      <c r="AD158" s="145"/>
      <c r="AE158" s="145"/>
      <c r="AF158" s="145"/>
      <c r="AG158" s="145"/>
      <c r="AH158" s="145"/>
      <c r="AI158" s="145"/>
      <c r="AJ158" s="145"/>
      <c r="AK158" s="145">
        <f t="shared" si="7"/>
        <v>0</v>
      </c>
      <c r="AL158" s="145"/>
      <c r="AO158" s="22"/>
    </row>
    <row r="160" spans="1:41" x14ac:dyDescent="0.35">
      <c r="A160" s="7">
        <v>1</v>
      </c>
      <c r="B160" s="41" t="s">
        <v>251</v>
      </c>
      <c r="C160" s="41"/>
      <c r="D160" s="7">
        <v>1</v>
      </c>
      <c r="E160" s="7" t="s">
        <v>252</v>
      </c>
      <c r="F160" s="7"/>
      <c r="G160" s="7"/>
      <c r="H160" s="7"/>
      <c r="I160" s="7"/>
      <c r="J160" s="7"/>
      <c r="K160" s="7">
        <v>1</v>
      </c>
      <c r="L160" s="65">
        <v>0.6</v>
      </c>
      <c r="M160" s="65"/>
      <c r="N160" s="41">
        <v>1667</v>
      </c>
      <c r="O160" s="41"/>
      <c r="P160" s="7" t="s">
        <v>22</v>
      </c>
      <c r="Q160" s="7">
        <v>1</v>
      </c>
      <c r="R160" s="7" t="s">
        <v>253</v>
      </c>
      <c r="S160" s="7">
        <v>49</v>
      </c>
      <c r="T160" s="7"/>
      <c r="U160" s="7">
        <v>1</v>
      </c>
      <c r="V160" s="7" t="s">
        <v>174</v>
      </c>
      <c r="W160" s="187">
        <v>0.16</v>
      </c>
      <c r="X160" s="187"/>
      <c r="Y160" s="42">
        <v>0.19</v>
      </c>
      <c r="Z160" s="7">
        <v>1</v>
      </c>
      <c r="AA160" s="7" t="s">
        <v>254</v>
      </c>
      <c r="AB160" s="7"/>
      <c r="AC160" s="7"/>
      <c r="AD160" s="7"/>
      <c r="AE160" s="7"/>
      <c r="AF160" s="7"/>
      <c r="AG160" s="7"/>
      <c r="AH160" s="7"/>
      <c r="AI160" s="7"/>
      <c r="AJ160" s="7"/>
      <c r="AK160" s="7">
        <v>1</v>
      </c>
      <c r="AL160" s="7" t="s">
        <v>174</v>
      </c>
      <c r="AM160" s="41">
        <v>0.23500000000000001</v>
      </c>
    </row>
    <row r="161" spans="1:39" x14ac:dyDescent="0.35">
      <c r="A161" s="7">
        <v>2</v>
      </c>
      <c r="B161" s="41" t="s">
        <v>255</v>
      </c>
      <c r="C161" s="41"/>
      <c r="D161" s="7">
        <v>2</v>
      </c>
      <c r="E161" s="7" t="s">
        <v>256</v>
      </c>
      <c r="F161" s="7"/>
      <c r="G161" s="7"/>
      <c r="H161" s="7"/>
      <c r="I161" s="7"/>
      <c r="J161" s="7"/>
      <c r="K161" s="7">
        <v>2</v>
      </c>
      <c r="L161" s="65">
        <v>0.63</v>
      </c>
      <c r="M161" s="65"/>
      <c r="N161" s="41">
        <v>1588</v>
      </c>
      <c r="O161" s="41"/>
      <c r="P161" s="7"/>
      <c r="Q161" s="7">
        <v>2</v>
      </c>
      <c r="R161" s="7" t="s">
        <v>257</v>
      </c>
      <c r="S161" s="7">
        <v>54</v>
      </c>
      <c r="T161" s="7"/>
      <c r="U161" s="7">
        <v>2</v>
      </c>
      <c r="V161" s="7" t="s">
        <v>175</v>
      </c>
      <c r="W161" s="187">
        <v>0.16</v>
      </c>
      <c r="X161" s="187"/>
      <c r="Y161" s="42">
        <v>0.19</v>
      </c>
      <c r="Z161" s="7">
        <v>2</v>
      </c>
      <c r="AA161" s="22" t="s">
        <v>258</v>
      </c>
      <c r="AC161" s="7"/>
      <c r="AD161" s="7">
        <v>1</v>
      </c>
      <c r="AE161" s="7">
        <v>0.2</v>
      </c>
      <c r="AF161" s="7" t="s">
        <v>259</v>
      </c>
      <c r="AG161" s="7"/>
      <c r="AH161" s="7"/>
      <c r="AI161" s="7"/>
      <c r="AJ161" s="7"/>
      <c r="AK161" s="7">
        <v>2</v>
      </c>
      <c r="AL161" s="7" t="s">
        <v>175</v>
      </c>
      <c r="AM161" s="41">
        <v>0.25</v>
      </c>
    </row>
    <row r="162" spans="1:39" x14ac:dyDescent="0.35">
      <c r="A162" s="7">
        <v>3</v>
      </c>
      <c r="B162" s="41" t="s">
        <v>260</v>
      </c>
      <c r="C162" s="41"/>
      <c r="D162" s="7">
        <v>3</v>
      </c>
      <c r="E162" s="7" t="s">
        <v>261</v>
      </c>
      <c r="F162" s="7"/>
      <c r="G162" s="7"/>
      <c r="H162" s="7"/>
      <c r="I162" s="7"/>
      <c r="J162" s="7"/>
      <c r="K162" s="7">
        <v>3</v>
      </c>
      <c r="L162" s="41">
        <v>0.65</v>
      </c>
      <c r="M162" s="41"/>
      <c r="N162" s="41">
        <v>1538</v>
      </c>
      <c r="O162" s="41"/>
      <c r="P162" s="7"/>
      <c r="Q162" s="7">
        <v>3</v>
      </c>
      <c r="R162" s="7" t="s">
        <v>262</v>
      </c>
      <c r="S162" s="7">
        <v>60</v>
      </c>
      <c r="T162" s="7"/>
      <c r="U162" s="7">
        <v>3</v>
      </c>
      <c r="V162" s="7" t="s">
        <v>176</v>
      </c>
      <c r="W162" s="187">
        <v>0.17</v>
      </c>
      <c r="X162" s="187"/>
      <c r="Y162" s="42">
        <v>0.21</v>
      </c>
      <c r="Z162" s="7">
        <v>3</v>
      </c>
      <c r="AA162" s="7" t="s">
        <v>263</v>
      </c>
      <c r="AB162" s="7"/>
      <c r="AC162" s="7"/>
      <c r="AD162" s="7">
        <v>2</v>
      </c>
      <c r="AE162" s="7">
        <v>0.3</v>
      </c>
      <c r="AF162" s="7" t="s">
        <v>264</v>
      </c>
      <c r="AG162" s="7"/>
      <c r="AH162" s="7"/>
      <c r="AI162" s="7"/>
      <c r="AJ162" s="7"/>
      <c r="AK162" s="7">
        <v>3</v>
      </c>
      <c r="AL162" s="7" t="s">
        <v>176</v>
      </c>
      <c r="AM162" s="41">
        <v>0.31</v>
      </c>
    </row>
    <row r="163" spans="1:39" x14ac:dyDescent="0.35">
      <c r="A163" s="7">
        <v>4</v>
      </c>
      <c r="B163" s="41" t="s">
        <v>265</v>
      </c>
      <c r="C163" s="41"/>
      <c r="D163" s="41"/>
      <c r="E163" s="41"/>
      <c r="F163" s="41"/>
      <c r="G163" s="7"/>
      <c r="H163" s="7"/>
      <c r="I163" s="7"/>
      <c r="J163" s="7"/>
      <c r="K163" s="7">
        <v>4</v>
      </c>
      <c r="L163" s="41">
        <v>0.67</v>
      </c>
      <c r="M163" s="41"/>
      <c r="N163" s="41">
        <v>1493</v>
      </c>
      <c r="O163" s="41"/>
      <c r="P163" s="7"/>
      <c r="Q163" s="7">
        <v>4</v>
      </c>
      <c r="R163" s="24" t="s">
        <v>266</v>
      </c>
      <c r="S163" s="7" t="s">
        <v>266</v>
      </c>
      <c r="T163" s="7"/>
      <c r="U163" s="7">
        <v>4</v>
      </c>
      <c r="V163" s="7" t="s">
        <v>210</v>
      </c>
      <c r="W163" s="187">
        <v>0.18</v>
      </c>
      <c r="X163" s="187"/>
      <c r="Y163" s="42">
        <v>0.22</v>
      </c>
      <c r="Z163" s="7">
        <v>4</v>
      </c>
      <c r="AA163" s="7" t="s">
        <v>267</v>
      </c>
      <c r="AB163" s="7"/>
      <c r="AC163" s="7"/>
      <c r="AD163" s="7">
        <v>3</v>
      </c>
      <c r="AE163" s="7">
        <v>0.4</v>
      </c>
      <c r="AF163" s="7" t="s">
        <v>268</v>
      </c>
      <c r="AG163" s="7"/>
      <c r="AH163" s="7"/>
      <c r="AI163" s="7"/>
      <c r="AJ163" s="7"/>
      <c r="AK163" s="7">
        <v>4</v>
      </c>
      <c r="AL163" s="7" t="s">
        <v>210</v>
      </c>
      <c r="AM163" s="41">
        <v>0.38</v>
      </c>
    </row>
    <row r="164" spans="1:39" x14ac:dyDescent="0.35">
      <c r="A164" s="7">
        <v>5</v>
      </c>
      <c r="B164" s="41" t="s">
        <v>269</v>
      </c>
      <c r="C164" s="41"/>
      <c r="D164" s="24">
        <v>1</v>
      </c>
      <c r="E164" s="11" t="s">
        <v>270</v>
      </c>
      <c r="F164" s="41"/>
      <c r="G164" s="7"/>
      <c r="H164" s="7">
        <v>1</v>
      </c>
      <c r="I164" s="7" t="s">
        <v>271</v>
      </c>
      <c r="J164" s="7"/>
      <c r="K164" s="7">
        <v>5</v>
      </c>
      <c r="L164" s="41">
        <v>0.70000000000000007</v>
      </c>
      <c r="M164" s="41"/>
      <c r="N164" s="41">
        <v>1423</v>
      </c>
      <c r="O164" s="41"/>
      <c r="P164" s="7"/>
      <c r="Q164" s="7">
        <v>5</v>
      </c>
      <c r="R164" s="7" t="s">
        <v>272</v>
      </c>
      <c r="S164" s="7" t="s">
        <v>273</v>
      </c>
      <c r="T164" s="7"/>
      <c r="U164" s="7">
        <v>5</v>
      </c>
      <c r="V164" s="7" t="s">
        <v>212</v>
      </c>
      <c r="W164" s="187">
        <v>0.16</v>
      </c>
      <c r="X164" s="187"/>
      <c r="Y164" s="42">
        <v>0.14000000000000001</v>
      </c>
      <c r="Z164" s="7"/>
      <c r="AA164" s="7"/>
      <c r="AB164" s="7"/>
      <c r="AC164" s="7"/>
      <c r="AD164" s="7">
        <v>4</v>
      </c>
      <c r="AE164" s="7">
        <v>0.5</v>
      </c>
      <c r="AF164" s="7" t="s">
        <v>274</v>
      </c>
      <c r="AG164" s="7"/>
      <c r="AH164" s="7"/>
      <c r="AI164" s="7"/>
      <c r="AJ164" s="7"/>
      <c r="AK164" s="7">
        <v>5</v>
      </c>
      <c r="AL164" s="7" t="s">
        <v>212</v>
      </c>
      <c r="AM164" s="41">
        <v>0.1</v>
      </c>
    </row>
    <row r="165" spans="1:39" x14ac:dyDescent="0.35">
      <c r="A165" s="7">
        <v>6</v>
      </c>
      <c r="B165" s="41" t="s">
        <v>275</v>
      </c>
      <c r="C165" s="41"/>
      <c r="D165" s="24">
        <v>2</v>
      </c>
      <c r="E165" s="11" t="s">
        <v>276</v>
      </c>
      <c r="F165" s="41"/>
      <c r="G165" s="7"/>
      <c r="H165" s="7">
        <v>2</v>
      </c>
      <c r="I165" s="7" t="s">
        <v>277</v>
      </c>
      <c r="J165" s="7"/>
      <c r="K165" s="7">
        <v>6</v>
      </c>
      <c r="L165" s="41"/>
      <c r="M165" s="41"/>
      <c r="N165" s="41" t="s">
        <v>22</v>
      </c>
      <c r="O165" s="41"/>
      <c r="P165" s="7"/>
      <c r="Q165" s="7">
        <v>6</v>
      </c>
      <c r="R165" s="7"/>
      <c r="S165" s="7"/>
      <c r="T165" s="7"/>
      <c r="U165" s="7">
        <v>6</v>
      </c>
      <c r="V165" s="7" t="s">
        <v>90</v>
      </c>
      <c r="W165" s="187">
        <v>0</v>
      </c>
      <c r="X165" s="187"/>
      <c r="Y165" s="42">
        <v>0.02</v>
      </c>
      <c r="Z165" s="7"/>
      <c r="AA165" s="7"/>
      <c r="AB165" s="7"/>
      <c r="AC165" s="7"/>
      <c r="AD165" s="7">
        <v>5</v>
      </c>
      <c r="AE165" s="7" t="s">
        <v>22</v>
      </c>
      <c r="AF165" s="7" t="s">
        <v>22</v>
      </c>
      <c r="AG165" s="7"/>
      <c r="AH165" s="7"/>
      <c r="AI165" s="7"/>
      <c r="AJ165" s="7"/>
      <c r="AK165" s="7">
        <v>6</v>
      </c>
      <c r="AL165" s="7" t="s">
        <v>90</v>
      </c>
      <c r="AM165" s="41">
        <v>8.5999999999999993E-2</v>
      </c>
    </row>
    <row r="166" spans="1:39" x14ac:dyDescent="0.35">
      <c r="A166" s="7">
        <v>7</v>
      </c>
      <c r="B166" s="41" t="s">
        <v>22</v>
      </c>
      <c r="D166">
        <v>3</v>
      </c>
      <c r="E166" t="s">
        <v>22</v>
      </c>
      <c r="H166">
        <v>3</v>
      </c>
      <c r="I166" t="s">
        <v>22</v>
      </c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>
        <v>7</v>
      </c>
      <c r="V166" s="7" t="s">
        <v>22</v>
      </c>
      <c r="W166" s="7"/>
      <c r="X166" s="7"/>
      <c r="Y166" s="7"/>
      <c r="Z166" s="7"/>
      <c r="AA166" s="7"/>
      <c r="AB166" s="7"/>
      <c r="AC166" s="7"/>
      <c r="AD166" s="7"/>
      <c r="AE166" s="7"/>
      <c r="AF166" s="7"/>
      <c r="AG166" s="7"/>
      <c r="AH166" s="7"/>
      <c r="AI166" s="7"/>
      <c r="AJ166" s="7"/>
      <c r="AK166" s="7">
        <v>7</v>
      </c>
      <c r="AL166" s="7" t="s">
        <v>22</v>
      </c>
    </row>
    <row r="167" spans="1:39" x14ac:dyDescent="0.35">
      <c r="A167" s="20"/>
      <c r="B167" s="7"/>
      <c r="C167" s="7"/>
      <c r="D167" s="7"/>
      <c r="E167" s="7"/>
      <c r="F167" s="7"/>
      <c r="G167" s="7"/>
      <c r="H167" s="157" t="s">
        <v>169</v>
      </c>
      <c r="I167" s="157"/>
      <c r="J167" s="157"/>
      <c r="K167" s="157"/>
      <c r="L167" s="157" t="s">
        <v>278</v>
      </c>
      <c r="M167" s="157"/>
      <c r="N167" s="157" t="s">
        <v>279</v>
      </c>
      <c r="O167" s="157"/>
      <c r="P167" s="157"/>
      <c r="Q167" s="157" t="s">
        <v>280</v>
      </c>
      <c r="R167" s="157"/>
      <c r="S167" s="157" t="s">
        <v>281</v>
      </c>
      <c r="T167" s="157"/>
      <c r="U167" s="157"/>
      <c r="V167" s="157"/>
      <c r="W167" s="157"/>
      <c r="X167" s="157"/>
      <c r="Y167" s="157"/>
      <c r="Z167" s="157"/>
      <c r="AA167" s="157" t="s">
        <v>282</v>
      </c>
      <c r="AB167" s="157"/>
      <c r="AC167" s="157"/>
      <c r="AD167" s="157"/>
      <c r="AE167" s="157"/>
      <c r="AF167" s="157"/>
      <c r="AG167" s="157"/>
      <c r="AH167" s="133"/>
      <c r="AI167" s="43" t="s">
        <v>283</v>
      </c>
      <c r="AJ167" s="43" t="s">
        <v>284</v>
      </c>
    </row>
    <row r="168" spans="1:39" x14ac:dyDescent="0.35">
      <c r="A168" s="20"/>
      <c r="B168" s="20"/>
      <c r="C168" s="20"/>
      <c r="D168" s="20"/>
      <c r="E168" s="20"/>
      <c r="F168" s="7"/>
      <c r="G168" s="7"/>
      <c r="H168" s="155" t="s">
        <v>285</v>
      </c>
      <c r="I168" s="155"/>
      <c r="J168" s="155"/>
      <c r="K168" s="155"/>
      <c r="L168" s="156" t="s">
        <v>40</v>
      </c>
      <c r="M168" s="156"/>
      <c r="N168" s="156" t="s">
        <v>40</v>
      </c>
      <c r="O168" s="156"/>
      <c r="P168" s="156"/>
      <c r="Q168" s="156" t="s">
        <v>17</v>
      </c>
      <c r="R168" s="156"/>
      <c r="S168" s="156" t="s">
        <v>286</v>
      </c>
      <c r="T168" s="156"/>
      <c r="U168" s="156"/>
      <c r="V168" s="156"/>
      <c r="W168" s="156"/>
      <c r="X168" s="156"/>
      <c r="Y168" s="156"/>
      <c r="Z168" s="156"/>
      <c r="AA168" s="156" t="s">
        <v>287</v>
      </c>
      <c r="AB168" s="156"/>
      <c r="AC168" s="156"/>
      <c r="AD168" s="156"/>
      <c r="AE168" s="156"/>
      <c r="AF168" s="156"/>
      <c r="AG168" s="156"/>
      <c r="AH168" s="158"/>
      <c r="AI168" s="44"/>
      <c r="AJ168" s="44" t="s">
        <v>90</v>
      </c>
    </row>
    <row r="169" spans="1:39" x14ac:dyDescent="0.35">
      <c r="A169" s="45">
        <v>1</v>
      </c>
      <c r="B169" s="9" t="s">
        <v>288</v>
      </c>
      <c r="C169" s="9"/>
      <c r="D169" s="9"/>
      <c r="E169" s="9"/>
      <c r="F169" s="9"/>
      <c r="G169" s="10"/>
      <c r="H169" s="147" t="s">
        <v>289</v>
      </c>
      <c r="I169" s="38"/>
      <c r="J169" s="38"/>
      <c r="K169" s="39"/>
      <c r="L169" s="150">
        <v>55</v>
      </c>
      <c r="M169" s="151"/>
      <c r="N169" s="150">
        <v>26</v>
      </c>
      <c r="O169" s="152"/>
      <c r="P169" s="151"/>
      <c r="Q169" s="150">
        <v>15</v>
      </c>
      <c r="R169" s="151"/>
      <c r="S169" s="48" t="s">
        <v>290</v>
      </c>
      <c r="T169" s="49"/>
      <c r="U169" s="49"/>
      <c r="V169" s="49"/>
      <c r="W169" s="49"/>
      <c r="X169" s="49"/>
      <c r="Y169" s="49"/>
      <c r="Z169" s="50"/>
      <c r="AA169" s="48" t="s">
        <v>291</v>
      </c>
      <c r="AB169" s="49"/>
      <c r="AC169" s="49"/>
      <c r="AD169" s="49"/>
      <c r="AE169" s="49"/>
      <c r="AF169" s="49"/>
      <c r="AG169" s="49"/>
      <c r="AH169" s="50"/>
      <c r="AI169" s="51">
        <v>4</v>
      </c>
      <c r="AJ169" s="52" t="s">
        <v>22</v>
      </c>
    </row>
    <row r="170" spans="1:39" x14ac:dyDescent="0.35">
      <c r="A170" s="45">
        <v>2</v>
      </c>
      <c r="B170" s="9" t="s">
        <v>292</v>
      </c>
      <c r="C170" s="9"/>
      <c r="D170" s="9"/>
      <c r="E170" s="9"/>
      <c r="F170" s="9"/>
      <c r="G170" s="10"/>
      <c r="H170" s="147" t="s">
        <v>289</v>
      </c>
      <c r="I170" s="38"/>
      <c r="J170" s="38"/>
      <c r="K170" s="39"/>
      <c r="L170" s="150">
        <v>28</v>
      </c>
      <c r="M170" s="151"/>
      <c r="N170" s="150">
        <v>12</v>
      </c>
      <c r="O170" s="152"/>
      <c r="P170" s="151"/>
      <c r="Q170" s="150">
        <v>9.64</v>
      </c>
      <c r="R170" s="151"/>
      <c r="S170" s="48"/>
      <c r="T170" s="49"/>
      <c r="U170" s="49"/>
      <c r="V170" s="49"/>
      <c r="W170" s="49"/>
      <c r="X170" s="49"/>
      <c r="Y170" s="49"/>
      <c r="Z170" s="50"/>
      <c r="AA170" s="48"/>
      <c r="AB170" s="49"/>
      <c r="AC170" s="49"/>
      <c r="AD170" s="49"/>
      <c r="AE170" s="49"/>
      <c r="AF170" s="49"/>
      <c r="AG170" s="49"/>
      <c r="AH170" s="50"/>
      <c r="AI170" s="51">
        <v>2</v>
      </c>
      <c r="AJ170" s="52" t="s">
        <v>22</v>
      </c>
    </row>
    <row r="171" spans="1:39" x14ac:dyDescent="0.35">
      <c r="A171" s="45">
        <v>3</v>
      </c>
      <c r="B171" s="9" t="s">
        <v>293</v>
      </c>
      <c r="C171" s="9"/>
      <c r="D171" s="9"/>
      <c r="E171" s="9"/>
      <c r="F171" s="9"/>
      <c r="G171" s="10"/>
      <c r="H171" s="147" t="s">
        <v>289</v>
      </c>
      <c r="I171" s="53"/>
      <c r="J171" s="53"/>
      <c r="K171" s="54"/>
      <c r="L171" s="150">
        <v>59</v>
      </c>
      <c r="M171" s="151"/>
      <c r="N171" s="150">
        <v>31</v>
      </c>
      <c r="O171" s="152"/>
      <c r="P171" s="151"/>
      <c r="Q171" s="150">
        <v>12.55</v>
      </c>
      <c r="R171" s="151"/>
      <c r="S171" s="48" t="s">
        <v>294</v>
      </c>
      <c r="T171" s="49"/>
      <c r="U171" s="49"/>
      <c r="V171" s="49"/>
      <c r="W171" s="49"/>
      <c r="X171" s="49"/>
      <c r="Y171" s="49"/>
      <c r="Z171" s="50"/>
      <c r="AA171" s="48" t="s">
        <v>295</v>
      </c>
      <c r="AB171" s="49"/>
      <c r="AC171" s="49"/>
      <c r="AD171" s="49"/>
      <c r="AE171" s="49"/>
      <c r="AF171" s="49"/>
      <c r="AG171" s="49"/>
      <c r="AH171" s="50"/>
      <c r="AI171" s="51">
        <v>4</v>
      </c>
      <c r="AJ171" s="52" t="s">
        <v>22</v>
      </c>
    </row>
    <row r="172" spans="1:39" x14ac:dyDescent="0.35">
      <c r="A172" s="45">
        <v>4</v>
      </c>
      <c r="B172" s="9" t="s">
        <v>296</v>
      </c>
      <c r="C172" s="9"/>
      <c r="D172" s="9"/>
      <c r="E172" s="9"/>
      <c r="F172" s="9"/>
      <c r="G172" s="10"/>
      <c r="H172" s="147" t="s">
        <v>289</v>
      </c>
      <c r="I172" s="53"/>
      <c r="J172" s="53"/>
      <c r="K172" s="54"/>
      <c r="L172" s="150">
        <v>60</v>
      </c>
      <c r="M172" s="151"/>
      <c r="N172" s="150">
        <v>29.5</v>
      </c>
      <c r="O172" s="152"/>
      <c r="P172" s="151"/>
      <c r="Q172" s="150">
        <v>11.6</v>
      </c>
      <c r="R172" s="151"/>
      <c r="S172" s="48" t="s">
        <v>294</v>
      </c>
      <c r="T172" s="49"/>
      <c r="U172" s="49"/>
      <c r="V172" s="49"/>
      <c r="W172" s="49"/>
      <c r="X172" s="49"/>
      <c r="Y172" s="49"/>
      <c r="Z172" s="50"/>
      <c r="AA172" s="48" t="s">
        <v>297</v>
      </c>
      <c r="AB172" s="49"/>
      <c r="AC172" s="49"/>
      <c r="AD172" s="49"/>
      <c r="AE172" s="49"/>
      <c r="AF172" s="49"/>
      <c r="AG172" s="49"/>
      <c r="AH172" s="50"/>
      <c r="AI172" s="51">
        <v>4</v>
      </c>
      <c r="AJ172" s="52" t="s">
        <v>22</v>
      </c>
    </row>
    <row r="173" spans="1:39" x14ac:dyDescent="0.35">
      <c r="A173" s="45">
        <v>5</v>
      </c>
      <c r="B173" s="9" t="s">
        <v>298</v>
      </c>
      <c r="C173" s="9"/>
      <c r="D173" s="9"/>
      <c r="E173" s="9"/>
      <c r="F173" s="9"/>
      <c r="G173" s="10"/>
      <c r="H173" s="147" t="s">
        <v>289</v>
      </c>
      <c r="I173" s="53"/>
      <c r="J173" s="53"/>
      <c r="K173" s="54"/>
      <c r="L173" s="150">
        <v>60</v>
      </c>
      <c r="M173" s="151"/>
      <c r="N173" s="150">
        <v>20.100000000000001</v>
      </c>
      <c r="O173" s="152"/>
      <c r="P173" s="151"/>
      <c r="Q173" s="150">
        <v>13.540000000000001</v>
      </c>
      <c r="R173" s="151"/>
      <c r="S173" s="48"/>
      <c r="T173" s="49"/>
      <c r="U173" s="49"/>
      <c r="V173" s="49"/>
      <c r="W173" s="49"/>
      <c r="X173" s="49"/>
      <c r="Y173" s="49"/>
      <c r="Z173" s="50"/>
      <c r="AA173" s="48"/>
      <c r="AB173" s="49"/>
      <c r="AC173" s="49"/>
      <c r="AD173" s="49"/>
      <c r="AE173" s="49"/>
      <c r="AF173" s="49"/>
      <c r="AG173" s="49"/>
      <c r="AH173" s="50"/>
      <c r="AI173" s="51">
        <v>4</v>
      </c>
      <c r="AJ173" s="52" t="s">
        <v>22</v>
      </c>
    </row>
    <row r="174" spans="1:39" x14ac:dyDescent="0.35">
      <c r="A174" s="45">
        <v>6</v>
      </c>
      <c r="B174" s="9" t="s">
        <v>299</v>
      </c>
      <c r="C174" s="9"/>
      <c r="D174" s="9"/>
      <c r="E174" s="9"/>
      <c r="F174" s="9"/>
      <c r="G174" s="10"/>
      <c r="H174" s="147" t="s">
        <v>289</v>
      </c>
      <c r="I174" s="53"/>
      <c r="J174" s="53"/>
      <c r="K174" s="54"/>
      <c r="L174" s="150">
        <v>57.5</v>
      </c>
      <c r="M174" s="151"/>
      <c r="N174" s="150">
        <v>22.5</v>
      </c>
      <c r="O174" s="152"/>
      <c r="P174" s="151"/>
      <c r="Q174" s="150">
        <v>13.3</v>
      </c>
      <c r="R174" s="151"/>
      <c r="S174" s="48"/>
      <c r="T174" s="49"/>
      <c r="U174" s="49"/>
      <c r="V174" s="49"/>
      <c r="W174" s="49"/>
      <c r="X174" s="49"/>
      <c r="Y174" s="49"/>
      <c r="Z174" s="50"/>
      <c r="AA174" s="48"/>
      <c r="AB174" s="49"/>
      <c r="AC174" s="49"/>
      <c r="AD174" s="49"/>
      <c r="AE174" s="49"/>
      <c r="AF174" s="49"/>
      <c r="AG174" s="49"/>
      <c r="AH174" s="50"/>
      <c r="AI174" s="51">
        <v>4</v>
      </c>
      <c r="AJ174" s="52" t="s">
        <v>22</v>
      </c>
    </row>
    <row r="175" spans="1:39" x14ac:dyDescent="0.35">
      <c r="A175" s="45">
        <v>7</v>
      </c>
      <c r="B175" s="9" t="s">
        <v>300</v>
      </c>
      <c r="C175" s="9"/>
      <c r="D175" s="9"/>
      <c r="E175" s="9"/>
      <c r="F175" s="9"/>
      <c r="G175" s="10"/>
      <c r="H175" s="147" t="s">
        <v>289</v>
      </c>
      <c r="I175" s="53"/>
      <c r="J175" s="53"/>
      <c r="K175" s="54"/>
      <c r="L175" s="150">
        <v>68</v>
      </c>
      <c r="M175" s="151"/>
      <c r="N175" s="150">
        <v>22.1</v>
      </c>
      <c r="O175" s="152"/>
      <c r="P175" s="151"/>
      <c r="Q175" s="150">
        <v>13.540000000000001</v>
      </c>
      <c r="R175" s="151"/>
      <c r="S175" s="48"/>
      <c r="T175" s="49"/>
      <c r="U175" s="49"/>
      <c r="V175" s="49"/>
      <c r="W175" s="49"/>
      <c r="X175" s="49"/>
      <c r="Y175" s="49"/>
      <c r="Z175" s="50"/>
      <c r="AA175" s="48"/>
      <c r="AB175" s="49"/>
      <c r="AC175" s="49"/>
      <c r="AD175" s="49"/>
      <c r="AE175" s="49"/>
      <c r="AF175" s="49"/>
      <c r="AG175" s="49"/>
      <c r="AH175" s="50"/>
      <c r="AI175" s="51">
        <v>4</v>
      </c>
      <c r="AJ175" s="52" t="s">
        <v>22</v>
      </c>
    </row>
    <row r="176" spans="1:39" x14ac:dyDescent="0.35">
      <c r="A176" s="45">
        <v>8</v>
      </c>
      <c r="B176" s="9" t="s">
        <v>301</v>
      </c>
      <c r="C176" s="9"/>
      <c r="D176" s="9"/>
      <c r="E176" s="9"/>
      <c r="F176" s="9"/>
      <c r="G176" s="10"/>
      <c r="H176" s="147" t="s">
        <v>289</v>
      </c>
      <c r="I176" s="53"/>
      <c r="J176" s="53"/>
      <c r="K176" s="54"/>
      <c r="L176" s="150">
        <v>53.5</v>
      </c>
      <c r="M176" s="151"/>
      <c r="N176" s="150">
        <v>37</v>
      </c>
      <c r="O176" s="152"/>
      <c r="P176" s="151"/>
      <c r="Q176" s="150">
        <v>18.3</v>
      </c>
      <c r="R176" s="151"/>
      <c r="S176" s="48"/>
      <c r="T176" s="49"/>
      <c r="U176" s="49"/>
      <c r="V176" s="49"/>
      <c r="W176" s="49"/>
      <c r="X176" s="49"/>
      <c r="Y176" s="49"/>
      <c r="Z176" s="50"/>
      <c r="AA176" s="48"/>
      <c r="AB176" s="49"/>
      <c r="AC176" s="49"/>
      <c r="AD176" s="49"/>
      <c r="AE176" s="49"/>
      <c r="AF176" s="49"/>
      <c r="AG176" s="49"/>
      <c r="AH176" s="50"/>
      <c r="AI176" s="51"/>
      <c r="AJ176" s="52" t="s">
        <v>22</v>
      </c>
    </row>
    <row r="177" spans="1:36" x14ac:dyDescent="0.35">
      <c r="A177" s="45">
        <v>9</v>
      </c>
      <c r="B177" s="9" t="s">
        <v>302</v>
      </c>
      <c r="C177" s="9"/>
      <c r="D177" s="9"/>
      <c r="E177" s="9"/>
      <c r="F177" s="9"/>
      <c r="G177" s="10"/>
      <c r="H177" s="147" t="s">
        <v>289</v>
      </c>
      <c r="I177" s="53"/>
      <c r="J177" s="53"/>
      <c r="K177" s="54"/>
      <c r="L177" s="150">
        <v>115</v>
      </c>
      <c r="M177" s="151"/>
      <c r="N177" s="150">
        <v>56</v>
      </c>
      <c r="O177" s="152"/>
      <c r="P177" s="151"/>
      <c r="Q177" s="150">
        <v>22.900000000000002</v>
      </c>
      <c r="R177" s="151"/>
      <c r="S177" s="48"/>
      <c r="T177" s="49"/>
      <c r="U177" s="49"/>
      <c r="V177" s="49"/>
      <c r="W177" s="49"/>
      <c r="X177" s="49"/>
      <c r="Y177" s="49"/>
      <c r="Z177" s="50"/>
      <c r="AA177" s="48"/>
      <c r="AB177" s="49"/>
      <c r="AC177" s="49"/>
      <c r="AD177" s="49"/>
      <c r="AE177" s="49"/>
      <c r="AF177" s="49"/>
      <c r="AG177" s="49"/>
      <c r="AH177" s="50"/>
      <c r="AI177" s="51">
        <v>2</v>
      </c>
      <c r="AJ177" s="52" t="s">
        <v>22</v>
      </c>
    </row>
    <row r="178" spans="1:36" x14ac:dyDescent="0.35">
      <c r="A178" s="45">
        <v>10</v>
      </c>
      <c r="B178" s="9" t="s">
        <v>303</v>
      </c>
      <c r="C178" s="9"/>
      <c r="D178" s="9"/>
      <c r="E178" s="9"/>
      <c r="F178" s="9"/>
      <c r="G178" s="10"/>
      <c r="H178" s="147" t="s">
        <v>304</v>
      </c>
      <c r="I178" s="53"/>
      <c r="J178" s="53"/>
      <c r="K178" s="54"/>
      <c r="L178" s="150">
        <v>27</v>
      </c>
      <c r="M178" s="151"/>
      <c r="N178" s="150">
        <v>12.5</v>
      </c>
      <c r="O178" s="152"/>
      <c r="P178" s="151"/>
      <c r="Q178" s="150">
        <v>13.96</v>
      </c>
      <c r="R178" s="151"/>
      <c r="S178" s="48"/>
      <c r="T178" s="49"/>
      <c r="U178" s="49"/>
      <c r="V178" s="49"/>
      <c r="W178" s="49"/>
      <c r="X178" s="49"/>
      <c r="Y178" s="49"/>
      <c r="Z178" s="50"/>
      <c r="AA178" s="48"/>
      <c r="AB178" s="49"/>
      <c r="AC178" s="49"/>
      <c r="AD178" s="49"/>
      <c r="AE178" s="49"/>
      <c r="AF178" s="49"/>
      <c r="AG178" s="49"/>
      <c r="AH178" s="50"/>
      <c r="AI178" s="51">
        <v>2</v>
      </c>
      <c r="AJ178" s="52">
        <f t="shared" ref="AJ178:AJ189" si="8">IF(AI178&lt;4,$G$35,$G$36)</f>
        <v>0.21</v>
      </c>
    </row>
    <row r="179" spans="1:36" x14ac:dyDescent="0.35">
      <c r="A179" s="45">
        <v>11</v>
      </c>
      <c r="B179" s="9" t="s">
        <v>305</v>
      </c>
      <c r="C179" s="9"/>
      <c r="D179" s="9"/>
      <c r="E179" s="9"/>
      <c r="F179" s="9"/>
      <c r="G179" s="10"/>
      <c r="H179" s="147" t="s">
        <v>304</v>
      </c>
      <c r="I179" s="53"/>
      <c r="J179" s="53"/>
      <c r="K179" s="54"/>
      <c r="L179" s="150">
        <v>27</v>
      </c>
      <c r="M179" s="151"/>
      <c r="N179" s="150">
        <v>12.5</v>
      </c>
      <c r="O179" s="152"/>
      <c r="P179" s="151"/>
      <c r="Q179" s="150">
        <v>14.23</v>
      </c>
      <c r="R179" s="151"/>
      <c r="S179" s="48"/>
      <c r="T179" s="49"/>
      <c r="U179" s="49"/>
      <c r="V179" s="49"/>
      <c r="W179" s="49"/>
      <c r="X179" s="49"/>
      <c r="Y179" s="49"/>
      <c r="Z179" s="50"/>
      <c r="AA179" s="48"/>
      <c r="AB179" s="49"/>
      <c r="AC179" s="49"/>
      <c r="AD179" s="49"/>
      <c r="AE179" s="49"/>
      <c r="AF179" s="49"/>
      <c r="AG179" s="49"/>
      <c r="AH179" s="50"/>
      <c r="AI179" s="51">
        <v>2</v>
      </c>
      <c r="AJ179" s="52">
        <f t="shared" si="8"/>
        <v>0.21</v>
      </c>
    </row>
    <row r="180" spans="1:36" x14ac:dyDescent="0.35">
      <c r="A180" s="45">
        <v>12</v>
      </c>
      <c r="B180" s="9" t="s">
        <v>306</v>
      </c>
      <c r="C180" s="9"/>
      <c r="D180" s="9"/>
      <c r="E180" s="9"/>
      <c r="F180" s="9"/>
      <c r="G180" s="10"/>
      <c r="H180" s="147" t="s">
        <v>307</v>
      </c>
      <c r="I180" s="53"/>
      <c r="J180" s="53"/>
      <c r="K180" s="54"/>
      <c r="L180" s="150">
        <v>54</v>
      </c>
      <c r="M180" s="151"/>
      <c r="N180" s="150">
        <v>25.5</v>
      </c>
      <c r="O180" s="152"/>
      <c r="P180" s="151"/>
      <c r="Q180" s="150">
        <v>20.22</v>
      </c>
      <c r="R180" s="151"/>
      <c r="S180" s="48"/>
      <c r="T180" s="49"/>
      <c r="U180" s="49"/>
      <c r="V180" s="49"/>
      <c r="W180" s="49"/>
      <c r="X180" s="49"/>
      <c r="Y180" s="49"/>
      <c r="Z180" s="50"/>
      <c r="AA180" s="48"/>
      <c r="AB180" s="49"/>
      <c r="AC180" s="49"/>
      <c r="AD180" s="49"/>
      <c r="AE180" s="49"/>
      <c r="AF180" s="49"/>
      <c r="AG180" s="49"/>
      <c r="AH180" s="50"/>
      <c r="AI180" s="51">
        <v>4</v>
      </c>
      <c r="AJ180" s="52">
        <f t="shared" si="8"/>
        <v>0.22</v>
      </c>
    </row>
    <row r="181" spans="1:36" x14ac:dyDescent="0.35">
      <c r="A181" s="45">
        <v>13</v>
      </c>
      <c r="B181" s="9" t="s">
        <v>308</v>
      </c>
      <c r="C181" s="9"/>
      <c r="D181" s="9"/>
      <c r="E181" s="9"/>
      <c r="F181" s="9"/>
      <c r="G181" s="10"/>
      <c r="H181" s="147" t="s">
        <v>307</v>
      </c>
      <c r="I181" s="53"/>
      <c r="J181" s="53"/>
      <c r="K181" s="54"/>
      <c r="L181" s="150">
        <v>55</v>
      </c>
      <c r="M181" s="151"/>
      <c r="N181" s="150">
        <v>25.7</v>
      </c>
      <c r="O181" s="152"/>
      <c r="P181" s="151"/>
      <c r="Q181" s="150">
        <v>20.22</v>
      </c>
      <c r="R181" s="151"/>
      <c r="S181" s="48"/>
      <c r="T181" s="49"/>
      <c r="U181" s="49"/>
      <c r="V181" s="49"/>
      <c r="W181" s="49"/>
      <c r="X181" s="49"/>
      <c r="Y181" s="49"/>
      <c r="Z181" s="50"/>
      <c r="AA181" s="48"/>
      <c r="AB181" s="49"/>
      <c r="AC181" s="49"/>
      <c r="AD181" s="49"/>
      <c r="AE181" s="49"/>
      <c r="AF181" s="49"/>
      <c r="AG181" s="49"/>
      <c r="AH181" s="50"/>
      <c r="AI181" s="51">
        <v>4</v>
      </c>
      <c r="AJ181" s="52">
        <f t="shared" si="8"/>
        <v>0.22</v>
      </c>
    </row>
    <row r="182" spans="1:36" x14ac:dyDescent="0.35">
      <c r="A182" s="45">
        <v>14</v>
      </c>
      <c r="B182" s="9" t="s">
        <v>309</v>
      </c>
      <c r="C182" s="9"/>
      <c r="D182" s="9"/>
      <c r="E182" s="9"/>
      <c r="F182" s="9"/>
      <c r="G182" s="10"/>
      <c r="H182" s="147" t="s">
        <v>310</v>
      </c>
      <c r="I182" s="53"/>
      <c r="J182" s="53"/>
      <c r="K182" s="54"/>
      <c r="L182" s="150">
        <v>56.5</v>
      </c>
      <c r="M182" s="151"/>
      <c r="N182" s="150">
        <v>23.5</v>
      </c>
      <c r="O182" s="152"/>
      <c r="P182" s="151"/>
      <c r="Q182" s="150">
        <v>19.900000000000002</v>
      </c>
      <c r="R182" s="151"/>
      <c r="S182" s="48"/>
      <c r="T182" s="49"/>
      <c r="U182" s="49"/>
      <c r="V182" s="49"/>
      <c r="W182" s="49"/>
      <c r="X182" s="49"/>
      <c r="Y182" s="49"/>
      <c r="Z182" s="50"/>
      <c r="AA182" s="48"/>
      <c r="AB182" s="49"/>
      <c r="AC182" s="49"/>
      <c r="AD182" s="49"/>
      <c r="AE182" s="49"/>
      <c r="AF182" s="49"/>
      <c r="AG182" s="49"/>
      <c r="AH182" s="50"/>
      <c r="AI182" s="51">
        <v>4</v>
      </c>
      <c r="AJ182" s="52">
        <f t="shared" si="8"/>
        <v>0.22</v>
      </c>
    </row>
    <row r="183" spans="1:36" x14ac:dyDescent="0.35">
      <c r="A183" s="45">
        <v>15</v>
      </c>
      <c r="B183" s="9" t="s">
        <v>311</v>
      </c>
      <c r="C183" s="9"/>
      <c r="D183" s="9"/>
      <c r="E183" s="9"/>
      <c r="F183" s="9"/>
      <c r="G183" s="10"/>
      <c r="H183" s="147" t="s">
        <v>307</v>
      </c>
      <c r="I183" s="53"/>
      <c r="J183" s="53"/>
      <c r="K183" s="54"/>
      <c r="L183" s="150">
        <v>59</v>
      </c>
      <c r="M183" s="151"/>
      <c r="N183" s="150">
        <v>29.5</v>
      </c>
      <c r="O183" s="152"/>
      <c r="P183" s="151"/>
      <c r="Q183" s="150">
        <v>15.84</v>
      </c>
      <c r="R183" s="151"/>
      <c r="S183" s="48"/>
      <c r="T183" s="49"/>
      <c r="U183" s="49"/>
      <c r="V183" s="49"/>
      <c r="W183" s="49"/>
      <c r="X183" s="49"/>
      <c r="Y183" s="49"/>
      <c r="Z183" s="50"/>
      <c r="AA183" s="48" t="s">
        <v>312</v>
      </c>
      <c r="AB183" s="49"/>
      <c r="AC183" s="49"/>
      <c r="AD183" s="49"/>
      <c r="AE183" s="49"/>
      <c r="AF183" s="49"/>
      <c r="AG183" s="49"/>
      <c r="AH183" s="50"/>
      <c r="AI183" s="51">
        <v>6</v>
      </c>
      <c r="AJ183" s="52">
        <f t="shared" si="8"/>
        <v>0.22</v>
      </c>
    </row>
    <row r="184" spans="1:36" x14ac:dyDescent="0.35">
      <c r="A184" s="45">
        <v>16</v>
      </c>
      <c r="B184" s="9" t="s">
        <v>313</v>
      </c>
      <c r="C184" s="9"/>
      <c r="D184" s="9"/>
      <c r="E184" s="9"/>
      <c r="F184" s="9"/>
      <c r="G184" s="10"/>
      <c r="H184" s="147" t="s">
        <v>314</v>
      </c>
      <c r="I184" s="53"/>
      <c r="J184" s="53"/>
      <c r="K184" s="54"/>
      <c r="L184" s="150">
        <v>59</v>
      </c>
      <c r="M184" s="151"/>
      <c r="N184" s="150">
        <v>21.6</v>
      </c>
      <c r="O184" s="152"/>
      <c r="P184" s="151"/>
      <c r="Q184" s="150">
        <v>13.76</v>
      </c>
      <c r="R184" s="151"/>
      <c r="S184" s="48" t="s">
        <v>315</v>
      </c>
      <c r="T184" s="49"/>
      <c r="U184" s="49"/>
      <c r="V184" s="49"/>
      <c r="W184" s="49"/>
      <c r="X184" s="49"/>
      <c r="Y184" s="49"/>
      <c r="Z184" s="50"/>
      <c r="AA184" s="48" t="s">
        <v>316</v>
      </c>
      <c r="AB184" s="49"/>
      <c r="AC184" s="49"/>
      <c r="AD184" s="49"/>
      <c r="AE184" s="49"/>
      <c r="AF184" s="49"/>
      <c r="AG184" s="49"/>
      <c r="AH184" s="50"/>
      <c r="AI184" s="51">
        <v>4</v>
      </c>
      <c r="AJ184" s="52">
        <f t="shared" si="8"/>
        <v>0.22</v>
      </c>
    </row>
    <row r="185" spans="1:36" x14ac:dyDescent="0.35">
      <c r="A185" s="45">
        <v>17</v>
      </c>
      <c r="B185" s="9" t="s">
        <v>317</v>
      </c>
      <c r="C185" s="9"/>
      <c r="D185" s="9"/>
      <c r="E185" s="9"/>
      <c r="F185" s="9"/>
      <c r="G185" s="10"/>
      <c r="H185" s="147" t="s">
        <v>314</v>
      </c>
      <c r="I185" s="53"/>
      <c r="J185" s="53"/>
      <c r="K185" s="54"/>
      <c r="L185" s="150">
        <v>53.5</v>
      </c>
      <c r="M185" s="151"/>
      <c r="N185" s="150">
        <v>26.5</v>
      </c>
      <c r="O185" s="152"/>
      <c r="P185" s="151"/>
      <c r="Q185" s="150">
        <v>21.3</v>
      </c>
      <c r="R185" s="151"/>
      <c r="S185" s="48" t="s">
        <v>315</v>
      </c>
      <c r="T185" s="49"/>
      <c r="U185" s="49"/>
      <c r="V185" s="49"/>
      <c r="W185" s="49"/>
      <c r="X185" s="49"/>
      <c r="Y185" s="49"/>
      <c r="Z185" s="50"/>
      <c r="AA185" s="48" t="s">
        <v>318</v>
      </c>
      <c r="AB185" s="49"/>
      <c r="AC185" s="49"/>
      <c r="AD185" s="49"/>
      <c r="AE185" s="49"/>
      <c r="AF185" s="49"/>
      <c r="AG185" s="49"/>
      <c r="AH185" s="50"/>
      <c r="AI185" s="51">
        <v>4</v>
      </c>
      <c r="AJ185" s="52">
        <f t="shared" si="8"/>
        <v>0.22</v>
      </c>
    </row>
    <row r="186" spans="1:36" x14ac:dyDescent="0.35">
      <c r="A186" s="45">
        <v>18</v>
      </c>
      <c r="B186" s="9" t="s">
        <v>319</v>
      </c>
      <c r="C186" s="9"/>
      <c r="D186" s="9"/>
      <c r="E186" s="9"/>
      <c r="F186" s="9"/>
      <c r="G186" s="10"/>
      <c r="H186" s="147" t="s">
        <v>314</v>
      </c>
      <c r="I186" s="53"/>
      <c r="J186" s="53"/>
      <c r="K186" s="54"/>
      <c r="L186" s="150">
        <v>56.2</v>
      </c>
      <c r="M186" s="151"/>
      <c r="N186" s="150">
        <v>23.8</v>
      </c>
      <c r="O186" s="152"/>
      <c r="P186" s="151"/>
      <c r="Q186" s="150">
        <v>21.3</v>
      </c>
      <c r="R186" s="151"/>
      <c r="S186" s="48" t="s">
        <v>315</v>
      </c>
      <c r="T186" s="49"/>
      <c r="U186" s="49"/>
      <c r="V186" s="49"/>
      <c r="W186" s="49"/>
      <c r="X186" s="49"/>
      <c r="Y186" s="49"/>
      <c r="Z186" s="50"/>
      <c r="AA186" s="48" t="s">
        <v>316</v>
      </c>
      <c r="AB186" s="49"/>
      <c r="AC186" s="49"/>
      <c r="AD186" s="49"/>
      <c r="AE186" s="49"/>
      <c r="AF186" s="49"/>
      <c r="AG186" s="49"/>
      <c r="AH186" s="50"/>
      <c r="AI186" s="51">
        <v>4</v>
      </c>
      <c r="AJ186" s="52">
        <f t="shared" si="8"/>
        <v>0.22</v>
      </c>
    </row>
    <row r="187" spans="1:36" x14ac:dyDescent="0.35">
      <c r="A187" s="45">
        <v>19</v>
      </c>
      <c r="B187" s="9" t="s">
        <v>320</v>
      </c>
      <c r="C187" s="9"/>
      <c r="D187" s="9"/>
      <c r="E187" s="9"/>
      <c r="F187" s="9"/>
      <c r="G187" s="10"/>
      <c r="H187" s="147" t="s">
        <v>314</v>
      </c>
      <c r="I187" s="53"/>
      <c r="J187" s="53"/>
      <c r="K187" s="54"/>
      <c r="L187" s="150">
        <v>56.9</v>
      </c>
      <c r="M187" s="151"/>
      <c r="N187" s="150">
        <v>23.1</v>
      </c>
      <c r="O187" s="152"/>
      <c r="P187" s="151"/>
      <c r="Q187" s="150">
        <v>21.34</v>
      </c>
      <c r="R187" s="151"/>
      <c r="S187" s="48" t="s">
        <v>315</v>
      </c>
      <c r="T187" s="49"/>
      <c r="U187" s="49"/>
      <c r="V187" s="49"/>
      <c r="W187" s="49"/>
      <c r="X187" s="49"/>
      <c r="Y187" s="49"/>
      <c r="Z187" s="50"/>
      <c r="AA187" s="48" t="s">
        <v>316</v>
      </c>
      <c r="AB187" s="49"/>
      <c r="AC187" s="49"/>
      <c r="AD187" s="49"/>
      <c r="AE187" s="49"/>
      <c r="AF187" s="49"/>
      <c r="AG187" s="49"/>
      <c r="AH187" s="50"/>
      <c r="AI187" s="51">
        <v>4</v>
      </c>
      <c r="AJ187" s="52">
        <f t="shared" si="8"/>
        <v>0.22</v>
      </c>
    </row>
    <row r="188" spans="1:36" x14ac:dyDescent="0.35">
      <c r="A188" s="45">
        <v>20</v>
      </c>
      <c r="B188" s="9" t="s">
        <v>321</v>
      </c>
      <c r="C188" s="9"/>
      <c r="D188" s="9"/>
      <c r="E188" s="9"/>
      <c r="F188" s="9"/>
      <c r="G188" s="10"/>
      <c r="H188" s="147" t="s">
        <v>314</v>
      </c>
      <c r="I188" s="53"/>
      <c r="J188" s="53"/>
      <c r="K188" s="54"/>
      <c r="L188" s="150">
        <v>56.9</v>
      </c>
      <c r="M188" s="151"/>
      <c r="N188" s="150">
        <v>23.1</v>
      </c>
      <c r="O188" s="152"/>
      <c r="P188" s="151"/>
      <c r="Q188" s="150">
        <v>21.34</v>
      </c>
      <c r="R188" s="151"/>
      <c r="S188" s="48" t="s">
        <v>322</v>
      </c>
      <c r="T188" s="49"/>
      <c r="U188" s="49"/>
      <c r="V188" s="49"/>
      <c r="W188" s="49"/>
      <c r="X188" s="49"/>
      <c r="Y188" s="49"/>
      <c r="Z188" s="50"/>
      <c r="AA188" s="48"/>
      <c r="AB188" s="49"/>
      <c r="AC188" s="49"/>
      <c r="AD188" s="49"/>
      <c r="AE188" s="49"/>
      <c r="AF188" s="49"/>
      <c r="AG188" s="49"/>
      <c r="AH188" s="50"/>
      <c r="AI188" s="51">
        <v>4</v>
      </c>
      <c r="AJ188" s="52">
        <f t="shared" si="8"/>
        <v>0.22</v>
      </c>
    </row>
    <row r="189" spans="1:36" x14ac:dyDescent="0.35">
      <c r="A189" s="45">
        <v>21</v>
      </c>
      <c r="B189" s="9" t="s">
        <v>323</v>
      </c>
      <c r="C189" s="9"/>
      <c r="D189" s="9"/>
      <c r="E189" s="9"/>
      <c r="F189" s="9"/>
      <c r="G189" s="10"/>
      <c r="H189" s="147" t="s">
        <v>314</v>
      </c>
      <c r="I189" s="53"/>
      <c r="J189" s="53"/>
      <c r="K189" s="54"/>
      <c r="L189" s="150">
        <v>56</v>
      </c>
      <c r="M189" s="151"/>
      <c r="N189" s="150">
        <v>24</v>
      </c>
      <c r="O189" s="152"/>
      <c r="P189" s="151"/>
      <c r="Q189" s="150">
        <v>19.900000000000002</v>
      </c>
      <c r="R189" s="151"/>
      <c r="S189" s="48" t="s">
        <v>315</v>
      </c>
      <c r="T189" s="49"/>
      <c r="U189" s="49"/>
      <c r="V189" s="49"/>
      <c r="W189" s="49"/>
      <c r="X189" s="49"/>
      <c r="Y189" s="49"/>
      <c r="Z189" s="50"/>
      <c r="AA189" s="48" t="s">
        <v>324</v>
      </c>
      <c r="AB189" s="49"/>
      <c r="AC189" s="49"/>
      <c r="AD189" s="49"/>
      <c r="AE189" s="49"/>
      <c r="AF189" s="49"/>
      <c r="AG189" s="49"/>
      <c r="AH189" s="50"/>
      <c r="AI189" s="51">
        <v>4</v>
      </c>
      <c r="AJ189" s="52">
        <f t="shared" si="8"/>
        <v>0.22</v>
      </c>
    </row>
    <row r="190" spans="1:36" x14ac:dyDescent="0.35">
      <c r="A190" s="45">
        <v>22</v>
      </c>
      <c r="B190" s="9" t="s">
        <v>325</v>
      </c>
      <c r="C190" s="9"/>
      <c r="D190" s="9"/>
      <c r="E190" s="9"/>
      <c r="F190" s="9"/>
      <c r="G190" s="10"/>
      <c r="H190" s="147" t="s">
        <v>22</v>
      </c>
      <c r="I190" s="53"/>
      <c r="J190" s="53"/>
      <c r="K190" s="54"/>
      <c r="L190" s="150">
        <v>28</v>
      </c>
      <c r="M190" s="151"/>
      <c r="N190" s="150">
        <v>20</v>
      </c>
      <c r="O190" s="152"/>
      <c r="P190" s="151"/>
      <c r="Q190" s="150">
        <v>14</v>
      </c>
      <c r="R190" s="151"/>
      <c r="S190" s="48" t="s">
        <v>22</v>
      </c>
      <c r="T190" s="49"/>
      <c r="U190" s="49"/>
      <c r="V190" s="49"/>
      <c r="W190" s="49"/>
      <c r="X190" s="49"/>
      <c r="Y190" s="49"/>
      <c r="Z190" s="50"/>
      <c r="AA190" s="48" t="s">
        <v>22</v>
      </c>
      <c r="AB190" s="49"/>
      <c r="AC190" s="49"/>
      <c r="AD190" s="49"/>
      <c r="AE190" s="49"/>
      <c r="AF190" s="49"/>
      <c r="AG190" s="49"/>
      <c r="AH190" s="50"/>
      <c r="AI190" s="51" t="s">
        <v>22</v>
      </c>
      <c r="AJ190" s="52" t="s">
        <v>22</v>
      </c>
    </row>
    <row r="191" spans="1:36" x14ac:dyDescent="0.35">
      <c r="A191" s="55">
        <v>23</v>
      </c>
      <c r="B191" s="8" t="s">
        <v>326</v>
      </c>
      <c r="C191" s="9"/>
      <c r="D191" s="9"/>
      <c r="E191" s="9"/>
      <c r="F191" s="9"/>
      <c r="G191" s="10"/>
      <c r="H191" s="147" t="s">
        <v>22</v>
      </c>
      <c r="I191" s="53"/>
      <c r="J191" s="53"/>
      <c r="K191" s="54"/>
      <c r="L191" s="150">
        <v>13</v>
      </c>
      <c r="M191" s="151"/>
      <c r="N191" s="150" t="s">
        <v>22</v>
      </c>
      <c r="O191" s="152"/>
      <c r="P191" s="151"/>
      <c r="Q191" s="150" t="s">
        <v>22</v>
      </c>
      <c r="R191" s="151"/>
      <c r="S191" s="48" t="s">
        <v>22</v>
      </c>
      <c r="T191" s="49"/>
      <c r="U191" s="49"/>
      <c r="V191" s="49"/>
      <c r="W191" s="49"/>
      <c r="X191" s="49"/>
      <c r="Y191" s="49"/>
      <c r="Z191" s="50"/>
      <c r="AA191" s="48" t="s">
        <v>22</v>
      </c>
      <c r="AB191" s="49"/>
      <c r="AC191" s="49"/>
      <c r="AD191" s="49"/>
      <c r="AE191" s="49"/>
      <c r="AF191" s="49"/>
      <c r="AG191" s="49"/>
      <c r="AH191" s="50"/>
      <c r="AI191" s="51" t="s">
        <v>22</v>
      </c>
      <c r="AJ191" s="52" t="s">
        <v>22</v>
      </c>
    </row>
    <row r="192" spans="1:36" x14ac:dyDescent="0.35">
      <c r="A192" s="55">
        <v>24</v>
      </c>
      <c r="B192" s="8" t="s">
        <v>327</v>
      </c>
      <c r="C192" s="9"/>
      <c r="D192" s="9"/>
      <c r="E192" s="9"/>
      <c r="F192" s="9"/>
      <c r="G192" s="10"/>
      <c r="H192" s="147" t="s">
        <v>22</v>
      </c>
      <c r="I192" s="53"/>
      <c r="J192" s="53"/>
      <c r="K192" s="54"/>
      <c r="L192" s="150">
        <v>32</v>
      </c>
      <c r="M192" s="151"/>
      <c r="N192" s="150" t="s">
        <v>22</v>
      </c>
      <c r="O192" s="152"/>
      <c r="P192" s="151"/>
      <c r="Q192" s="150" t="s">
        <v>22</v>
      </c>
      <c r="R192" s="151"/>
      <c r="S192" s="48" t="s">
        <v>22</v>
      </c>
      <c r="T192" s="49"/>
      <c r="U192" s="49"/>
      <c r="V192" s="49"/>
      <c r="W192" s="49"/>
      <c r="X192" s="49"/>
      <c r="Y192" s="49"/>
      <c r="Z192" s="50"/>
      <c r="AA192" s="48" t="s">
        <v>22</v>
      </c>
      <c r="AB192" s="49"/>
      <c r="AC192" s="49"/>
      <c r="AD192" s="49"/>
      <c r="AE192" s="49"/>
      <c r="AF192" s="49"/>
      <c r="AG192" s="49"/>
      <c r="AH192" s="50"/>
      <c r="AI192" s="51" t="s">
        <v>22</v>
      </c>
      <c r="AJ192" s="52" t="s">
        <v>22</v>
      </c>
    </row>
    <row r="193" spans="1:36" x14ac:dyDescent="0.35">
      <c r="A193" s="55">
        <v>25</v>
      </c>
      <c r="B193" s="8" t="s">
        <v>328</v>
      </c>
      <c r="C193" s="9"/>
      <c r="D193" s="9"/>
      <c r="E193" s="9"/>
      <c r="F193" s="9"/>
      <c r="G193" s="10"/>
      <c r="H193" s="147" t="s">
        <v>22</v>
      </c>
      <c r="I193" s="53"/>
      <c r="J193" s="53"/>
      <c r="K193" s="54"/>
      <c r="L193" s="150">
        <v>7.5</v>
      </c>
      <c r="M193" s="151"/>
      <c r="N193" s="150" t="s">
        <v>22</v>
      </c>
      <c r="O193" s="152"/>
      <c r="P193" s="151"/>
      <c r="Q193" s="150" t="s">
        <v>22</v>
      </c>
      <c r="R193" s="151"/>
      <c r="S193" s="48" t="s">
        <v>22</v>
      </c>
      <c r="T193" s="49"/>
      <c r="U193" s="49"/>
      <c r="V193" s="49"/>
      <c r="W193" s="49"/>
      <c r="X193" s="49"/>
      <c r="Y193" s="49"/>
      <c r="Z193" s="50"/>
      <c r="AA193" s="48" t="s">
        <v>22</v>
      </c>
      <c r="AB193" s="49"/>
      <c r="AC193" s="49"/>
      <c r="AD193" s="49"/>
      <c r="AE193" s="49"/>
      <c r="AF193" s="49"/>
      <c r="AG193" s="49"/>
      <c r="AH193" s="50"/>
      <c r="AI193" s="51" t="s">
        <v>22</v>
      </c>
      <c r="AJ193" s="52" t="s">
        <v>22</v>
      </c>
    </row>
    <row r="194" spans="1:36" x14ac:dyDescent="0.35">
      <c r="A194" s="56">
        <v>26</v>
      </c>
      <c r="B194" s="8" t="s">
        <v>329</v>
      </c>
      <c r="C194" s="9"/>
      <c r="D194" s="9"/>
      <c r="E194" s="9"/>
      <c r="F194" s="9"/>
      <c r="G194" s="10"/>
      <c r="H194" s="147" t="s">
        <v>22</v>
      </c>
      <c r="I194" s="53"/>
      <c r="J194" s="53"/>
      <c r="K194" s="54"/>
      <c r="L194" s="150">
        <v>2.5</v>
      </c>
      <c r="M194" s="151"/>
      <c r="N194" s="150" t="s">
        <v>22</v>
      </c>
      <c r="O194" s="152"/>
      <c r="P194" s="151"/>
      <c r="Q194" s="150" t="s">
        <v>22</v>
      </c>
      <c r="R194" s="151"/>
      <c r="S194" s="48" t="s">
        <v>22</v>
      </c>
      <c r="T194" s="49"/>
      <c r="U194" s="49"/>
      <c r="V194" s="49"/>
      <c r="W194" s="49"/>
      <c r="X194" s="49"/>
      <c r="Y194" s="49"/>
      <c r="Z194" s="50"/>
      <c r="AA194" s="48" t="s">
        <v>22</v>
      </c>
      <c r="AB194" s="49"/>
      <c r="AC194" s="49"/>
      <c r="AD194" s="49"/>
      <c r="AE194" s="49"/>
      <c r="AF194" s="49"/>
      <c r="AG194" s="49"/>
      <c r="AH194" s="50"/>
      <c r="AI194" s="51" t="s">
        <v>22</v>
      </c>
      <c r="AJ194" s="52" t="s">
        <v>22</v>
      </c>
    </row>
    <row r="195" spans="1:36" x14ac:dyDescent="0.35">
      <c r="A195" s="56">
        <v>27</v>
      </c>
      <c r="B195" s="8" t="s">
        <v>330</v>
      </c>
      <c r="C195" s="9"/>
      <c r="D195" s="9"/>
      <c r="E195" s="9"/>
      <c r="F195" s="9"/>
      <c r="G195" s="10"/>
      <c r="H195" s="147" t="s">
        <v>22</v>
      </c>
      <c r="I195" s="53"/>
      <c r="J195" s="53"/>
      <c r="K195" s="54"/>
      <c r="L195" s="150">
        <v>10</v>
      </c>
      <c r="M195" s="151"/>
      <c r="N195" s="150" t="s">
        <v>22</v>
      </c>
      <c r="O195" s="152"/>
      <c r="P195" s="151"/>
      <c r="Q195" s="150" t="s">
        <v>22</v>
      </c>
      <c r="R195" s="151"/>
      <c r="S195" s="48" t="s">
        <v>22</v>
      </c>
      <c r="T195" s="49"/>
      <c r="U195" s="49"/>
      <c r="V195" s="49"/>
      <c r="W195" s="49"/>
      <c r="X195" s="49"/>
      <c r="Y195" s="49"/>
      <c r="Z195" s="50"/>
      <c r="AA195" s="48" t="s">
        <v>22</v>
      </c>
      <c r="AB195" s="49"/>
      <c r="AC195" s="49"/>
      <c r="AD195" s="49"/>
      <c r="AE195" s="49"/>
      <c r="AF195" s="49"/>
      <c r="AG195" s="49"/>
      <c r="AH195" s="50"/>
      <c r="AI195" s="51" t="s">
        <v>22</v>
      </c>
      <c r="AJ195" s="52" t="s">
        <v>22</v>
      </c>
    </row>
    <row r="196" spans="1:36" x14ac:dyDescent="0.35">
      <c r="A196" s="57">
        <v>28</v>
      </c>
      <c r="B196" s="8" t="s">
        <v>331</v>
      </c>
      <c r="C196" s="9"/>
      <c r="D196" s="9"/>
      <c r="E196" s="9"/>
      <c r="F196" s="9"/>
      <c r="G196" s="10"/>
      <c r="H196" s="147" t="s">
        <v>22</v>
      </c>
      <c r="I196" s="53"/>
      <c r="J196" s="53"/>
      <c r="K196" s="54"/>
      <c r="L196" s="150">
        <v>16</v>
      </c>
      <c r="M196" s="151"/>
      <c r="N196" s="150" t="s">
        <v>22</v>
      </c>
      <c r="O196" s="152"/>
      <c r="P196" s="151"/>
      <c r="Q196" s="150" t="s">
        <v>22</v>
      </c>
      <c r="R196" s="151"/>
      <c r="S196" s="48" t="s">
        <v>22</v>
      </c>
      <c r="T196" s="49"/>
      <c r="U196" s="49"/>
      <c r="V196" s="49"/>
      <c r="W196" s="49"/>
      <c r="X196" s="49"/>
      <c r="Y196" s="49"/>
      <c r="Z196" s="50"/>
      <c r="AA196" s="48" t="s">
        <v>22</v>
      </c>
      <c r="AB196" s="49"/>
      <c r="AC196" s="49"/>
      <c r="AD196" s="49"/>
      <c r="AE196" s="49"/>
      <c r="AF196" s="49"/>
      <c r="AG196" s="49"/>
      <c r="AH196" s="50"/>
      <c r="AI196" s="51" t="s">
        <v>22</v>
      </c>
      <c r="AJ196" s="52" t="s">
        <v>22</v>
      </c>
    </row>
    <row r="197" spans="1:36" x14ac:dyDescent="0.35">
      <c r="A197" s="57">
        <v>29</v>
      </c>
      <c r="B197" s="8" t="s">
        <v>332</v>
      </c>
      <c r="C197" s="9"/>
      <c r="D197" s="9"/>
      <c r="E197" s="9"/>
      <c r="F197" s="9"/>
      <c r="G197" s="10"/>
      <c r="H197" s="147" t="s">
        <v>22</v>
      </c>
      <c r="I197" s="53"/>
      <c r="J197" s="53"/>
      <c r="K197" s="54"/>
      <c r="L197" s="150">
        <v>20</v>
      </c>
      <c r="M197" s="151"/>
      <c r="N197" s="150" t="s">
        <v>22</v>
      </c>
      <c r="O197" s="152"/>
      <c r="P197" s="151"/>
      <c r="Q197" s="150" t="s">
        <v>22</v>
      </c>
      <c r="R197" s="151"/>
      <c r="S197" s="48" t="s">
        <v>22</v>
      </c>
      <c r="T197" s="49"/>
      <c r="U197" s="49"/>
      <c r="V197" s="49"/>
      <c r="W197" s="49"/>
      <c r="X197" s="49"/>
      <c r="Y197" s="49"/>
      <c r="Z197" s="50"/>
      <c r="AA197" s="48" t="s">
        <v>22</v>
      </c>
      <c r="AB197" s="49"/>
      <c r="AC197" s="49"/>
      <c r="AD197" s="49"/>
      <c r="AE197" s="49"/>
      <c r="AF197" s="49"/>
      <c r="AG197" s="49"/>
      <c r="AH197" s="50"/>
      <c r="AI197" s="51" t="s">
        <v>22</v>
      </c>
      <c r="AJ197" s="52" t="s">
        <v>22</v>
      </c>
    </row>
    <row r="198" spans="1:36" x14ac:dyDescent="0.35">
      <c r="A198" s="57">
        <v>30</v>
      </c>
      <c r="B198" s="8" t="s">
        <v>333</v>
      </c>
      <c r="C198" s="9"/>
      <c r="D198" s="9"/>
      <c r="E198" s="9"/>
      <c r="F198" s="9"/>
      <c r="G198" s="10"/>
      <c r="H198" s="147" t="s">
        <v>22</v>
      </c>
      <c r="I198" s="53"/>
      <c r="J198" s="53"/>
      <c r="K198" s="54"/>
      <c r="L198" s="150">
        <v>40</v>
      </c>
      <c r="M198" s="151"/>
      <c r="N198" s="150" t="s">
        <v>22</v>
      </c>
      <c r="O198" s="152"/>
      <c r="P198" s="151"/>
      <c r="Q198" s="150" t="s">
        <v>22</v>
      </c>
      <c r="R198" s="151"/>
      <c r="S198" s="48" t="s">
        <v>22</v>
      </c>
      <c r="T198" s="49"/>
      <c r="U198" s="49"/>
      <c r="V198" s="49"/>
      <c r="W198" s="49"/>
      <c r="X198" s="49"/>
      <c r="Y198" s="49"/>
      <c r="Z198" s="50"/>
      <c r="AA198" s="48" t="s">
        <v>22</v>
      </c>
      <c r="AB198" s="49"/>
      <c r="AC198" s="49"/>
      <c r="AD198" s="49"/>
      <c r="AE198" s="49"/>
      <c r="AF198" s="49"/>
      <c r="AG198" s="49"/>
      <c r="AH198" s="50"/>
      <c r="AI198" s="51" t="s">
        <v>22</v>
      </c>
      <c r="AJ198" s="52" t="s">
        <v>22</v>
      </c>
    </row>
    <row r="199" spans="1:36" x14ac:dyDescent="0.35">
      <c r="A199" s="57">
        <v>31</v>
      </c>
      <c r="B199" s="8" t="s">
        <v>334</v>
      </c>
      <c r="C199" s="9"/>
      <c r="D199" s="9"/>
      <c r="E199" s="9"/>
      <c r="F199" s="9"/>
      <c r="G199" s="10"/>
      <c r="H199" s="147" t="s">
        <v>22</v>
      </c>
      <c r="I199" s="53"/>
      <c r="J199" s="53"/>
      <c r="K199" s="54"/>
      <c r="L199" s="150">
        <v>32</v>
      </c>
      <c r="M199" s="151"/>
      <c r="N199" s="150" t="s">
        <v>22</v>
      </c>
      <c r="O199" s="152"/>
      <c r="P199" s="151"/>
      <c r="Q199" s="150" t="s">
        <v>22</v>
      </c>
      <c r="R199" s="151"/>
      <c r="S199" s="48" t="s">
        <v>22</v>
      </c>
      <c r="T199" s="49"/>
      <c r="U199" s="49"/>
      <c r="V199" s="49"/>
      <c r="W199" s="49"/>
      <c r="X199" s="49"/>
      <c r="Y199" s="49"/>
      <c r="Z199" s="50"/>
      <c r="AA199" s="48" t="s">
        <v>22</v>
      </c>
      <c r="AB199" s="49"/>
      <c r="AC199" s="49"/>
      <c r="AD199" s="49"/>
      <c r="AE199" s="49"/>
      <c r="AF199" s="49"/>
      <c r="AG199" s="49"/>
      <c r="AH199" s="50"/>
      <c r="AI199" s="51" t="s">
        <v>22</v>
      </c>
      <c r="AJ199" s="52" t="s">
        <v>22</v>
      </c>
    </row>
    <row r="200" spans="1:36" x14ac:dyDescent="0.35">
      <c r="A200" s="57">
        <v>32</v>
      </c>
      <c r="B200" s="8" t="s">
        <v>335</v>
      </c>
      <c r="C200" s="9"/>
      <c r="D200" s="9"/>
      <c r="E200" s="9"/>
      <c r="F200" s="9"/>
      <c r="G200" s="10"/>
      <c r="H200" s="147" t="s">
        <v>22</v>
      </c>
      <c r="I200" s="53"/>
      <c r="J200" s="53"/>
      <c r="K200" s="54"/>
      <c r="L200" s="150" t="s">
        <v>22</v>
      </c>
      <c r="M200" s="151"/>
      <c r="N200" s="150" t="s">
        <v>22</v>
      </c>
      <c r="O200" s="152"/>
      <c r="P200" s="151"/>
      <c r="Q200" s="150" t="s">
        <v>22</v>
      </c>
      <c r="R200" s="151"/>
      <c r="S200" s="48" t="s">
        <v>22</v>
      </c>
      <c r="T200" s="49"/>
      <c r="U200" s="49"/>
      <c r="V200" s="49"/>
      <c r="W200" s="49"/>
      <c r="X200" s="49"/>
      <c r="Y200" s="49"/>
      <c r="Z200" s="50"/>
      <c r="AA200" s="48" t="s">
        <v>22</v>
      </c>
      <c r="AB200" s="49"/>
      <c r="AC200" s="49"/>
      <c r="AD200" s="49"/>
      <c r="AE200" s="49"/>
      <c r="AF200" s="49"/>
      <c r="AG200" s="49"/>
      <c r="AH200" s="50"/>
      <c r="AI200" s="51" t="s">
        <v>22</v>
      </c>
      <c r="AJ200" s="52" t="s">
        <v>22</v>
      </c>
    </row>
    <row r="201" spans="1:36" x14ac:dyDescent="0.35">
      <c r="A201" s="57">
        <v>33</v>
      </c>
      <c r="B201" s="8" t="s">
        <v>336</v>
      </c>
      <c r="C201" s="9"/>
      <c r="D201" s="9"/>
      <c r="E201" s="9"/>
      <c r="F201" s="9"/>
      <c r="G201" s="10"/>
      <c r="H201" s="147" t="s">
        <v>22</v>
      </c>
      <c r="I201" s="53"/>
      <c r="J201" s="53"/>
      <c r="K201" s="54"/>
      <c r="L201" s="150" t="s">
        <v>22</v>
      </c>
      <c r="M201" s="151"/>
      <c r="N201" s="150" t="s">
        <v>22</v>
      </c>
      <c r="O201" s="152"/>
      <c r="P201" s="151"/>
      <c r="Q201" s="150" t="s">
        <v>22</v>
      </c>
      <c r="R201" s="151"/>
      <c r="S201" s="48" t="s">
        <v>22</v>
      </c>
      <c r="T201" s="49"/>
      <c r="U201" s="49"/>
      <c r="V201" s="49"/>
      <c r="W201" s="49"/>
      <c r="X201" s="49"/>
      <c r="Y201" s="49"/>
      <c r="Z201" s="50"/>
      <c r="AA201" s="48" t="s">
        <v>22</v>
      </c>
      <c r="AB201" s="49"/>
      <c r="AC201" s="49"/>
      <c r="AD201" s="49"/>
      <c r="AE201" s="49"/>
      <c r="AF201" s="49"/>
      <c r="AG201" s="49"/>
      <c r="AH201" s="50"/>
      <c r="AI201" s="51" t="s">
        <v>22</v>
      </c>
      <c r="AJ201" s="52" t="s">
        <v>22</v>
      </c>
    </row>
    <row r="202" spans="1:36" x14ac:dyDescent="0.35">
      <c r="A202" s="57"/>
      <c r="B202" s="11"/>
      <c r="C202" s="11"/>
      <c r="D202" s="11"/>
      <c r="E202" s="11"/>
      <c r="F202" s="11"/>
      <c r="G202" s="11"/>
      <c r="H202" s="41"/>
      <c r="L202" s="58"/>
      <c r="M202" s="58"/>
      <c r="N202" s="58"/>
      <c r="O202" s="58"/>
      <c r="P202" s="58"/>
      <c r="Q202" s="58"/>
      <c r="R202" s="58"/>
      <c r="S202" s="59"/>
      <c r="T202" s="59"/>
      <c r="U202" s="59"/>
      <c r="V202" s="59"/>
      <c r="W202" s="59"/>
      <c r="X202" s="59"/>
      <c r="Y202" s="59"/>
      <c r="Z202" s="59"/>
      <c r="AA202" s="59"/>
      <c r="AB202" s="59"/>
      <c r="AC202" s="59"/>
      <c r="AD202" s="59"/>
      <c r="AE202" s="59"/>
      <c r="AF202" s="59"/>
      <c r="AG202" s="59"/>
      <c r="AH202" s="59"/>
      <c r="AI202" s="60"/>
      <c r="AJ202" s="61"/>
    </row>
    <row r="203" spans="1:36" x14ac:dyDescent="0.35">
      <c r="A203" s="11"/>
      <c r="B203" s="11"/>
      <c r="C203" s="11"/>
      <c r="D203" s="11"/>
      <c r="E203" s="147" t="s">
        <v>81</v>
      </c>
      <c r="F203" s="54"/>
      <c r="G203" s="147" t="s">
        <v>337</v>
      </c>
      <c r="H203" s="53"/>
      <c r="I203" s="53"/>
      <c r="J203" s="54"/>
      <c r="K203" s="147" t="s">
        <v>338</v>
      </c>
      <c r="L203" s="53"/>
      <c r="M203" s="54"/>
      <c r="N203" s="147" t="s">
        <v>339</v>
      </c>
      <c r="O203" s="53"/>
      <c r="P203" s="54"/>
      <c r="Q203" s="62" t="s">
        <v>340</v>
      </c>
      <c r="R203" s="63"/>
      <c r="S203" s="64"/>
      <c r="T203" s="65"/>
      <c r="U203" s="65"/>
      <c r="V203" s="65"/>
      <c r="W203" s="65"/>
      <c r="X203" s="65"/>
      <c r="Y203" s="65"/>
      <c r="Z203" s="65"/>
      <c r="AA203" s="65"/>
      <c r="AB203" s="65"/>
      <c r="AC203" s="65"/>
      <c r="AD203" s="65"/>
      <c r="AE203" s="65"/>
      <c r="AF203" s="65"/>
      <c r="AG203" s="65"/>
      <c r="AH203" s="65"/>
      <c r="AI203" s="2"/>
    </row>
    <row r="204" spans="1:36" x14ac:dyDescent="0.35">
      <c r="A204" s="66">
        <v>1</v>
      </c>
      <c r="B204" s="8" t="s">
        <v>341</v>
      </c>
      <c r="C204" s="9"/>
      <c r="D204" s="10"/>
      <c r="E204" s="147">
        <v>0.86</v>
      </c>
      <c r="F204" s="54"/>
      <c r="G204" s="147" t="s">
        <v>342</v>
      </c>
      <c r="H204" s="53"/>
      <c r="I204" s="53"/>
      <c r="J204" s="54"/>
      <c r="K204" s="62">
        <v>0</v>
      </c>
      <c r="L204" s="63"/>
      <c r="M204" s="64"/>
      <c r="N204" s="62"/>
      <c r="O204" s="63"/>
      <c r="P204" s="64"/>
      <c r="Q204" s="62">
        <v>1</v>
      </c>
      <c r="R204" s="63"/>
      <c r="S204" s="64"/>
      <c r="T204" s="65"/>
      <c r="U204" s="65"/>
      <c r="V204" s="65"/>
      <c r="W204" s="65"/>
      <c r="X204" s="65"/>
      <c r="Y204" s="65"/>
      <c r="Z204" s="65"/>
      <c r="AA204" s="65"/>
      <c r="AB204" s="65"/>
      <c r="AC204" s="65"/>
      <c r="AD204" s="65"/>
      <c r="AE204" s="65"/>
      <c r="AF204" s="65"/>
      <c r="AG204" s="65"/>
      <c r="AH204" s="65"/>
      <c r="AI204" s="2"/>
    </row>
    <row r="205" spans="1:36" x14ac:dyDescent="0.35">
      <c r="A205" s="66">
        <v>2</v>
      </c>
      <c r="B205" s="8" t="s">
        <v>343</v>
      </c>
      <c r="C205" s="9"/>
      <c r="D205" s="10"/>
      <c r="E205" s="147">
        <v>0.72</v>
      </c>
      <c r="F205" s="54"/>
      <c r="G205" s="147" t="s">
        <v>344</v>
      </c>
      <c r="H205" s="53"/>
      <c r="I205" s="53"/>
      <c r="J205" s="54"/>
      <c r="K205" s="62">
        <v>0</v>
      </c>
      <c r="L205" s="63"/>
      <c r="M205" s="64"/>
      <c r="N205" s="62"/>
      <c r="O205" s="63"/>
      <c r="P205" s="64"/>
      <c r="Q205" s="62">
        <v>1</v>
      </c>
      <c r="R205" s="63"/>
      <c r="S205" s="64"/>
      <c r="T205" s="65"/>
      <c r="U205" s="65"/>
      <c r="V205" s="65"/>
      <c r="W205" s="65"/>
      <c r="X205" s="65"/>
      <c r="Y205" s="65"/>
      <c r="Z205" s="65"/>
      <c r="AA205" s="65"/>
      <c r="AB205" s="65"/>
      <c r="AC205" s="65"/>
      <c r="AD205" s="65"/>
      <c r="AE205" s="65"/>
      <c r="AF205" s="65"/>
      <c r="AG205" s="65"/>
      <c r="AH205" s="65"/>
      <c r="AI205" s="2"/>
    </row>
    <row r="206" spans="1:36" x14ac:dyDescent="0.35">
      <c r="A206" s="66">
        <v>3</v>
      </c>
      <c r="B206" s="8" t="s">
        <v>345</v>
      </c>
      <c r="C206" s="9"/>
      <c r="D206" s="10"/>
      <c r="E206" s="147">
        <v>0.86</v>
      </c>
      <c r="F206" s="54"/>
      <c r="G206" s="147" t="s">
        <v>342</v>
      </c>
      <c r="H206" s="53"/>
      <c r="I206" s="53"/>
      <c r="J206" s="54"/>
      <c r="K206" s="62">
        <v>0</v>
      </c>
      <c r="L206" s="63"/>
      <c r="M206" s="64"/>
      <c r="N206" s="62"/>
      <c r="O206" s="63"/>
      <c r="P206" s="64"/>
      <c r="Q206" s="62">
        <v>1</v>
      </c>
      <c r="R206" s="63"/>
      <c r="S206" s="64"/>
      <c r="T206" s="65"/>
      <c r="U206" s="65"/>
      <c r="V206" s="65"/>
      <c r="W206" s="65"/>
      <c r="X206" s="65"/>
      <c r="Y206" s="65"/>
      <c r="Z206" s="65"/>
      <c r="AA206" s="65"/>
      <c r="AB206" s="65"/>
      <c r="AC206" s="65"/>
      <c r="AD206" s="65"/>
      <c r="AE206" s="65"/>
      <c r="AF206" s="65"/>
      <c r="AG206" s="65"/>
      <c r="AH206" s="65"/>
      <c r="AI206" s="2"/>
    </row>
    <row r="207" spans="1:36" x14ac:dyDescent="0.35">
      <c r="A207" s="66">
        <v>4</v>
      </c>
      <c r="B207" s="8" t="s">
        <v>346</v>
      </c>
      <c r="C207" s="9"/>
      <c r="D207" s="10"/>
      <c r="E207" s="147">
        <v>0.72</v>
      </c>
      <c r="F207" s="54"/>
      <c r="G207" s="147" t="s">
        <v>344</v>
      </c>
      <c r="H207" s="53"/>
      <c r="I207" s="53"/>
      <c r="J207" s="54"/>
      <c r="K207" s="62">
        <v>0</v>
      </c>
      <c r="L207" s="63"/>
      <c r="M207" s="64"/>
      <c r="N207" s="62"/>
      <c r="O207" s="63"/>
      <c r="P207" s="64"/>
      <c r="Q207" s="62">
        <v>1</v>
      </c>
      <c r="R207" s="63"/>
      <c r="S207" s="64"/>
      <c r="T207" s="65"/>
      <c r="U207" s="65"/>
      <c r="V207" s="65"/>
      <c r="W207" s="65"/>
      <c r="X207" s="65"/>
      <c r="Y207" s="65"/>
      <c r="Z207" s="65"/>
      <c r="AA207" s="65"/>
      <c r="AB207" s="65"/>
      <c r="AC207" s="65"/>
      <c r="AD207" s="65"/>
      <c r="AE207" s="65"/>
      <c r="AF207" s="65"/>
      <c r="AG207" s="65"/>
      <c r="AH207" s="65"/>
      <c r="AI207" s="2"/>
    </row>
    <row r="208" spans="1:36" x14ac:dyDescent="0.35">
      <c r="A208" s="66">
        <v>5</v>
      </c>
      <c r="B208" s="8" t="s">
        <v>347</v>
      </c>
      <c r="C208" s="9"/>
      <c r="D208" s="10"/>
      <c r="E208" s="147"/>
      <c r="F208" s="54"/>
      <c r="G208" s="147"/>
      <c r="H208" s="53"/>
      <c r="I208" s="53"/>
      <c r="J208" s="54"/>
      <c r="K208" s="62">
        <v>0</v>
      </c>
      <c r="L208" s="63"/>
      <c r="M208" s="64"/>
      <c r="N208" s="62"/>
      <c r="O208" s="63"/>
      <c r="P208" s="64"/>
      <c r="Q208" s="62">
        <v>1</v>
      </c>
      <c r="R208" s="63"/>
      <c r="S208" s="64"/>
      <c r="T208" s="65"/>
      <c r="U208" s="65"/>
      <c r="V208" s="65"/>
      <c r="W208" s="65"/>
      <c r="X208" s="65"/>
      <c r="Y208" s="65"/>
      <c r="Z208" s="65"/>
      <c r="AA208" s="65"/>
      <c r="AB208" s="65"/>
      <c r="AC208" s="65"/>
      <c r="AD208" s="65"/>
      <c r="AE208" s="65"/>
      <c r="AF208" s="65"/>
      <c r="AG208" s="65"/>
      <c r="AH208" s="65"/>
      <c r="AI208" s="2"/>
    </row>
    <row r="209" spans="1:35" x14ac:dyDescent="0.35">
      <c r="A209" s="66">
        <v>6</v>
      </c>
      <c r="B209" s="8" t="s">
        <v>348</v>
      </c>
      <c r="C209" s="67"/>
      <c r="D209" s="68"/>
      <c r="E209" s="147"/>
      <c r="F209" s="54"/>
      <c r="G209" s="147"/>
      <c r="H209" s="53"/>
      <c r="I209" s="53"/>
      <c r="J209" s="54"/>
      <c r="K209" s="62">
        <v>2.1</v>
      </c>
      <c r="L209" s="63"/>
      <c r="M209" s="64"/>
      <c r="N209" s="62"/>
      <c r="O209" s="63"/>
      <c r="P209" s="64"/>
      <c r="Q209" s="62">
        <v>1</v>
      </c>
      <c r="R209" s="63"/>
      <c r="S209" s="64"/>
      <c r="T209" s="69"/>
      <c r="U209" s="69"/>
      <c r="V209" s="69"/>
      <c r="W209" s="69"/>
      <c r="X209" s="69"/>
      <c r="Y209" s="69"/>
      <c r="Z209" s="69"/>
      <c r="AA209" s="69"/>
      <c r="AB209" s="69"/>
      <c r="AC209" s="69"/>
      <c r="AD209" s="69"/>
      <c r="AE209" s="69"/>
      <c r="AF209" s="69"/>
      <c r="AG209" s="69"/>
      <c r="AH209" s="69"/>
      <c r="AI209" s="2"/>
    </row>
    <row r="210" spans="1:35" x14ac:dyDescent="0.35">
      <c r="A210" s="66">
        <v>7</v>
      </c>
      <c r="B210" s="8" t="s">
        <v>349</v>
      </c>
      <c r="C210" s="9"/>
      <c r="D210" s="10"/>
      <c r="E210" s="147"/>
      <c r="F210" s="54"/>
      <c r="G210" s="147"/>
      <c r="H210" s="53"/>
      <c r="I210" s="53"/>
      <c r="J210" s="54"/>
      <c r="K210" s="62">
        <v>1.9000000000000001</v>
      </c>
      <c r="L210" s="63"/>
      <c r="M210" s="64"/>
      <c r="N210" s="62"/>
      <c r="O210" s="63"/>
      <c r="P210" s="64"/>
      <c r="Q210" s="62">
        <v>0.66700000000000004</v>
      </c>
      <c r="R210" s="63"/>
      <c r="S210" s="64"/>
      <c r="T210" s="65"/>
      <c r="U210" s="65"/>
      <c r="V210" s="65"/>
      <c r="W210" s="65"/>
      <c r="X210" s="65"/>
      <c r="Y210" s="65"/>
      <c r="Z210" s="65"/>
      <c r="AA210" s="65"/>
      <c r="AB210" s="65"/>
      <c r="AC210" s="65"/>
      <c r="AD210" s="65"/>
      <c r="AE210" s="65"/>
      <c r="AF210" s="65"/>
      <c r="AG210" s="65"/>
      <c r="AH210" s="65"/>
      <c r="AI210" s="2"/>
    </row>
    <row r="211" spans="1:35" x14ac:dyDescent="0.35">
      <c r="A211" s="66">
        <v>8</v>
      </c>
      <c r="B211" s="8" t="s">
        <v>350</v>
      </c>
      <c r="C211" s="9"/>
      <c r="D211" s="10"/>
      <c r="E211" s="147"/>
      <c r="F211" s="54"/>
      <c r="G211" s="147"/>
      <c r="H211" s="53"/>
      <c r="I211" s="53"/>
      <c r="J211" s="54"/>
      <c r="K211" s="62">
        <v>2</v>
      </c>
      <c r="L211" s="63"/>
      <c r="M211" s="64"/>
      <c r="N211" s="62"/>
      <c r="O211" s="63"/>
      <c r="P211" s="64"/>
      <c r="Q211" s="62">
        <v>0.66700000000000004</v>
      </c>
      <c r="R211" s="63"/>
      <c r="S211" s="64"/>
      <c r="T211" s="65"/>
      <c r="U211" s="65"/>
      <c r="V211" s="65"/>
      <c r="W211" s="65"/>
      <c r="X211" s="65"/>
      <c r="Y211" s="65"/>
      <c r="Z211" s="65"/>
      <c r="AA211" s="65"/>
      <c r="AB211" s="65"/>
      <c r="AC211" s="65"/>
      <c r="AD211" s="65"/>
      <c r="AE211" s="65"/>
      <c r="AF211" s="65"/>
      <c r="AG211" s="65"/>
      <c r="AH211" s="65"/>
      <c r="AI211" s="2"/>
    </row>
    <row r="212" spans="1:35" x14ac:dyDescent="0.35">
      <c r="A212" s="66">
        <v>9</v>
      </c>
      <c r="B212" s="8" t="s">
        <v>351</v>
      </c>
      <c r="C212" s="9"/>
      <c r="D212" s="10"/>
      <c r="E212" s="147"/>
      <c r="F212" s="54"/>
      <c r="G212" s="147"/>
      <c r="H212" s="53"/>
      <c r="I212" s="53"/>
      <c r="J212" s="54"/>
      <c r="K212" s="62">
        <v>2.4</v>
      </c>
      <c r="L212" s="63"/>
      <c r="M212" s="64"/>
      <c r="N212" s="62"/>
      <c r="O212" s="63"/>
      <c r="P212" s="64"/>
      <c r="Q212" s="62">
        <v>0.33</v>
      </c>
      <c r="R212" s="63"/>
      <c r="S212" s="64"/>
      <c r="T212" s="65"/>
      <c r="U212" s="65"/>
      <c r="V212" s="65"/>
      <c r="W212" s="65"/>
      <c r="X212" s="65"/>
      <c r="Y212" s="65"/>
      <c r="Z212" s="65"/>
      <c r="AA212" s="65"/>
      <c r="AB212" s="65"/>
      <c r="AC212" s="65"/>
      <c r="AD212" s="65"/>
      <c r="AE212" s="65"/>
      <c r="AF212" s="65"/>
      <c r="AG212" s="65"/>
      <c r="AH212" s="65"/>
      <c r="AI212" s="2"/>
    </row>
    <row r="213" spans="1:35" x14ac:dyDescent="0.35">
      <c r="A213" s="66">
        <v>10</v>
      </c>
      <c r="B213" s="37" t="s">
        <v>352</v>
      </c>
      <c r="C213" s="70"/>
      <c r="D213" s="71"/>
      <c r="E213" s="147"/>
      <c r="F213" s="54"/>
      <c r="G213" s="147"/>
      <c r="H213" s="53"/>
      <c r="I213" s="53"/>
      <c r="J213" s="54"/>
      <c r="K213" s="62">
        <v>2.4</v>
      </c>
      <c r="L213" s="63"/>
      <c r="M213" s="64"/>
      <c r="N213" s="62"/>
      <c r="O213" s="63"/>
      <c r="P213" s="64"/>
      <c r="Q213" s="62">
        <v>0.33</v>
      </c>
      <c r="R213" s="63"/>
      <c r="S213" s="64"/>
      <c r="T213" s="7"/>
      <c r="U213" s="7"/>
      <c r="V213" s="7"/>
      <c r="W213" s="7"/>
      <c r="X213" s="7"/>
      <c r="Y213" s="7"/>
      <c r="Z213" s="7"/>
      <c r="AA213" s="7"/>
      <c r="AB213" s="7"/>
      <c r="AC213" s="7"/>
      <c r="AD213" s="7"/>
      <c r="AE213" s="7"/>
      <c r="AF213" s="7"/>
      <c r="AG213" s="7"/>
      <c r="AH213" s="7"/>
      <c r="AI213" s="19"/>
    </row>
    <row r="214" spans="1:35" x14ac:dyDescent="0.35">
      <c r="A214" s="66">
        <v>11</v>
      </c>
      <c r="B214" s="37" t="s">
        <v>353</v>
      </c>
      <c r="C214" s="70"/>
      <c r="D214" s="71"/>
      <c r="E214" s="147"/>
      <c r="F214" s="54"/>
      <c r="G214" s="147"/>
      <c r="H214" s="53"/>
      <c r="I214" s="53"/>
      <c r="J214" s="54"/>
      <c r="K214" s="62">
        <v>2.5</v>
      </c>
      <c r="L214" s="63"/>
      <c r="M214" s="64"/>
      <c r="N214" s="62"/>
      <c r="O214" s="63"/>
      <c r="P214" s="64"/>
      <c r="Q214" s="62">
        <v>0.1</v>
      </c>
      <c r="R214" s="63"/>
      <c r="S214" s="64"/>
      <c r="AI214" s="19"/>
    </row>
    <row r="215" spans="1:35" x14ac:dyDescent="0.35">
      <c r="A215" s="66">
        <v>12</v>
      </c>
      <c r="B215" s="37" t="s">
        <v>354</v>
      </c>
      <c r="C215" s="72"/>
      <c r="D215" s="73"/>
      <c r="E215" s="147"/>
      <c r="F215" s="54"/>
      <c r="G215" s="147"/>
      <c r="H215" s="53"/>
      <c r="I215" s="53"/>
      <c r="J215" s="54"/>
      <c r="K215" s="62"/>
      <c r="L215" s="63"/>
      <c r="M215" s="64"/>
      <c r="N215" s="62"/>
      <c r="O215" s="63"/>
      <c r="P215" s="64"/>
      <c r="Q215" s="62">
        <v>1</v>
      </c>
      <c r="R215" s="63"/>
      <c r="S215" s="64"/>
      <c r="T215" s="7"/>
      <c r="U215" s="7"/>
      <c r="V215" s="7"/>
      <c r="W215" s="7"/>
      <c r="X215" s="7"/>
      <c r="Y215" s="7"/>
      <c r="Z215" s="7"/>
      <c r="AA215" s="7"/>
      <c r="AB215" s="7"/>
      <c r="AC215" s="7"/>
      <c r="AD215" s="7"/>
      <c r="AE215" s="7"/>
      <c r="AF215" s="7"/>
      <c r="AG215" s="7"/>
      <c r="AH215" s="7"/>
      <c r="AI215" s="19"/>
    </row>
    <row r="216" spans="1:35" x14ac:dyDescent="0.35">
      <c r="A216" s="1"/>
      <c r="B216" s="7"/>
      <c r="C216" s="20"/>
      <c r="D216" s="20"/>
      <c r="E216" s="41"/>
      <c r="F216" s="41"/>
      <c r="G216" s="41"/>
      <c r="H216" s="41"/>
      <c r="I216" s="41"/>
      <c r="J216" s="41"/>
      <c r="K216" s="41"/>
      <c r="L216" s="41"/>
      <c r="M216" s="41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  <c r="AA216" s="7"/>
      <c r="AB216" s="7"/>
      <c r="AC216" s="7"/>
      <c r="AD216" s="7"/>
      <c r="AE216" s="7"/>
      <c r="AF216" s="7"/>
      <c r="AG216" s="7"/>
      <c r="AH216" s="7"/>
      <c r="AI216" s="19"/>
    </row>
    <row r="217" spans="1:35" x14ac:dyDescent="0.35">
      <c r="A217" s="7"/>
      <c r="B217" s="7"/>
      <c r="C217" s="7"/>
      <c r="D217" s="8" t="s">
        <v>355</v>
      </c>
      <c r="E217" s="54"/>
      <c r="F217" s="7"/>
      <c r="G217" s="7"/>
      <c r="H217" s="7"/>
      <c r="I217" s="20" t="s">
        <v>356</v>
      </c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8" t="s">
        <v>357</v>
      </c>
      <c r="V217" s="53"/>
      <c r="W217" s="53"/>
      <c r="X217" s="53"/>
      <c r="Y217" s="54"/>
      <c r="Z217" s="7"/>
      <c r="AA217" s="7"/>
      <c r="AB217" s="7"/>
      <c r="AC217" s="7"/>
      <c r="AD217" s="7"/>
      <c r="AE217" s="7"/>
      <c r="AF217" s="7"/>
      <c r="AG217" s="7" t="s">
        <v>358</v>
      </c>
      <c r="AH217" s="7"/>
      <c r="AI217" s="19"/>
    </row>
    <row r="218" spans="1:35" x14ac:dyDescent="0.35">
      <c r="A218" s="66">
        <v>1</v>
      </c>
      <c r="B218" s="8" t="s">
        <v>359</v>
      </c>
      <c r="C218" s="10"/>
      <c r="D218" s="62">
        <v>149</v>
      </c>
      <c r="E218" s="64"/>
      <c r="F218" s="7"/>
      <c r="G218" s="7"/>
      <c r="H218" s="7"/>
      <c r="I218" s="74" t="s">
        <v>360</v>
      </c>
      <c r="J218" s="75"/>
      <c r="K218" s="75"/>
      <c r="L218" s="62" t="s">
        <v>361</v>
      </c>
      <c r="M218" s="64"/>
      <c r="N218" s="62"/>
      <c r="O218" s="63"/>
      <c r="P218" s="63"/>
      <c r="Q218" s="63"/>
      <c r="R218" s="63"/>
      <c r="S218" s="64"/>
      <c r="T218" s="76"/>
      <c r="U218" s="77" t="s">
        <v>362</v>
      </c>
      <c r="V218" s="78"/>
      <c r="W218" s="78"/>
      <c r="X218" s="78"/>
      <c r="Y218" s="79"/>
      <c r="Z218" s="7"/>
      <c r="AA218" s="7"/>
      <c r="AB218" s="76"/>
      <c r="AC218" s="76"/>
      <c r="AD218" s="7"/>
      <c r="AE218" s="7"/>
      <c r="AF218" s="7"/>
      <c r="AG218" s="7" t="s">
        <v>363</v>
      </c>
      <c r="AH218" s="7"/>
      <c r="AI218" s="19"/>
    </row>
    <row r="219" spans="1:35" x14ac:dyDescent="0.35">
      <c r="A219" s="66">
        <v>2</v>
      </c>
      <c r="B219" s="8" t="s">
        <v>364</v>
      </c>
      <c r="C219" s="10"/>
      <c r="D219" s="62">
        <v>150</v>
      </c>
      <c r="E219" s="64"/>
      <c r="F219" s="7"/>
      <c r="G219" s="7"/>
      <c r="H219" s="7">
        <v>1</v>
      </c>
      <c r="I219" s="147" t="s">
        <v>365</v>
      </c>
      <c r="J219" s="53"/>
      <c r="K219" s="54"/>
      <c r="L219" s="148">
        <v>700</v>
      </c>
      <c r="M219" s="149"/>
      <c r="N219" s="147" t="s">
        <v>366</v>
      </c>
      <c r="O219" s="53"/>
      <c r="P219" s="53"/>
      <c r="Q219" s="53"/>
      <c r="R219" s="53"/>
      <c r="S219" s="54"/>
      <c r="T219" s="76"/>
      <c r="U219" s="77" t="s">
        <v>367</v>
      </c>
      <c r="V219" s="78"/>
      <c r="W219" s="78"/>
      <c r="X219" s="78"/>
      <c r="Y219" s="79"/>
      <c r="Z219" s="7"/>
      <c r="AA219" s="7"/>
      <c r="AB219" s="76"/>
      <c r="AC219" s="76"/>
      <c r="AD219" s="7"/>
      <c r="AE219" s="7"/>
      <c r="AF219" s="7"/>
      <c r="AG219" s="7" t="s">
        <v>368</v>
      </c>
      <c r="AH219" s="7"/>
      <c r="AI219" s="19"/>
    </row>
    <row r="220" spans="1:35" x14ac:dyDescent="0.35">
      <c r="A220" s="66">
        <v>3</v>
      </c>
      <c r="B220" s="8" t="s">
        <v>369</v>
      </c>
      <c r="C220" s="10"/>
      <c r="D220" s="62">
        <v>172</v>
      </c>
      <c r="E220" s="64"/>
      <c r="F220" s="7"/>
      <c r="G220" s="7"/>
      <c r="H220" s="7">
        <v>2</v>
      </c>
      <c r="I220" s="147" t="s">
        <v>370</v>
      </c>
      <c r="J220" s="53"/>
      <c r="K220" s="54"/>
      <c r="L220" s="148" t="s">
        <v>371</v>
      </c>
      <c r="M220" s="149"/>
      <c r="N220" s="147" t="s">
        <v>372</v>
      </c>
      <c r="O220" s="53"/>
      <c r="P220" s="53"/>
      <c r="Q220" s="53"/>
      <c r="R220" s="53"/>
      <c r="S220" s="54"/>
      <c r="T220" s="76"/>
      <c r="U220" s="77" t="s">
        <v>12</v>
      </c>
      <c r="V220" s="78"/>
      <c r="W220" s="78"/>
      <c r="X220" s="78"/>
      <c r="Y220" s="79"/>
      <c r="Z220" s="7"/>
      <c r="AA220" s="7"/>
      <c r="AB220" s="76"/>
      <c r="AC220" s="76"/>
      <c r="AD220" s="7"/>
      <c r="AE220" s="7"/>
      <c r="AF220" s="7"/>
      <c r="AG220" s="7" t="s">
        <v>373</v>
      </c>
      <c r="AH220" s="7"/>
      <c r="AI220" s="19"/>
    </row>
    <row r="221" spans="1:35" x14ac:dyDescent="0.35">
      <c r="A221" s="11"/>
      <c r="B221" s="11"/>
      <c r="C221" s="11"/>
      <c r="D221" s="76"/>
      <c r="E221" s="76"/>
      <c r="F221" s="7"/>
      <c r="G221" s="7"/>
      <c r="H221" s="7">
        <v>3</v>
      </c>
      <c r="I221" s="147" t="s">
        <v>374</v>
      </c>
      <c r="J221" s="53"/>
      <c r="K221" s="54"/>
      <c r="L221" s="148" t="s">
        <v>375</v>
      </c>
      <c r="M221" s="149"/>
      <c r="N221" s="147" t="s">
        <v>372</v>
      </c>
      <c r="O221" s="53"/>
      <c r="P221" s="53"/>
      <c r="Q221" s="53"/>
      <c r="R221" s="53"/>
      <c r="S221" s="54"/>
      <c r="T221" s="76"/>
      <c r="U221" s="77" t="s">
        <v>376</v>
      </c>
      <c r="V221" s="78"/>
      <c r="W221" s="78"/>
      <c r="X221" s="78"/>
      <c r="Y221" s="79"/>
      <c r="Z221" s="7"/>
      <c r="AA221" s="7"/>
      <c r="AB221" s="7"/>
      <c r="AC221" s="7"/>
      <c r="AD221" s="7"/>
      <c r="AE221" s="7"/>
      <c r="AF221" s="7"/>
      <c r="AG221" s="7" t="s">
        <v>377</v>
      </c>
      <c r="AH221" s="7"/>
      <c r="AI221" s="19"/>
    </row>
    <row r="222" spans="1:35" x14ac:dyDescent="0.35">
      <c r="A222" s="11"/>
      <c r="B222" s="11"/>
      <c r="C222" s="11"/>
      <c r="D222" s="76"/>
      <c r="E222" s="76"/>
      <c r="F222" s="7"/>
      <c r="G222" s="7"/>
      <c r="H222" s="7">
        <v>4</v>
      </c>
      <c r="I222" s="147" t="s">
        <v>378</v>
      </c>
      <c r="J222" s="53"/>
      <c r="K222" s="54"/>
      <c r="L222" s="148">
        <v>1100</v>
      </c>
      <c r="M222" s="149"/>
      <c r="N222" s="147" t="s">
        <v>379</v>
      </c>
      <c r="O222" s="53"/>
      <c r="P222" s="53"/>
      <c r="Q222" s="53"/>
      <c r="R222" s="53"/>
      <c r="S222" s="54"/>
      <c r="T222" s="76"/>
      <c r="U222" s="77" t="s">
        <v>380</v>
      </c>
      <c r="V222" s="78"/>
      <c r="W222" s="78"/>
      <c r="X222" s="78"/>
      <c r="Y222" s="79"/>
      <c r="Z222" s="7"/>
      <c r="AA222" s="7"/>
      <c r="AB222" s="7"/>
      <c r="AC222" s="7"/>
      <c r="AD222" s="7"/>
      <c r="AE222" s="7"/>
      <c r="AF222" s="7"/>
      <c r="AG222" s="7"/>
      <c r="AH222" s="7"/>
      <c r="AI222" s="19"/>
    </row>
    <row r="223" spans="1:35" x14ac:dyDescent="0.35">
      <c r="A223" s="7"/>
      <c r="B223" s="7"/>
      <c r="C223" s="7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6"/>
      <c r="U223" s="76"/>
      <c r="V223" s="7"/>
      <c r="W223" s="7"/>
      <c r="X223" s="7"/>
      <c r="Y223" s="7"/>
      <c r="Z223" s="7"/>
      <c r="AA223" s="7"/>
      <c r="AB223" s="7"/>
      <c r="AC223" s="7"/>
      <c r="AD223" s="7"/>
      <c r="AE223" s="7"/>
      <c r="AF223" s="7"/>
      <c r="AG223" s="7"/>
      <c r="AH223" s="7"/>
      <c r="AI223" s="19"/>
    </row>
    <row r="224" spans="1:35" x14ac:dyDescent="0.35">
      <c r="B224" s="7">
        <v>1</v>
      </c>
      <c r="C224" s="7" t="s">
        <v>381</v>
      </c>
      <c r="D224" s="7">
        <v>0</v>
      </c>
      <c r="H224" s="1" t="s">
        <v>382</v>
      </c>
      <c r="N224" s="1" t="s">
        <v>383</v>
      </c>
      <c r="O224" s="7"/>
      <c r="P224" s="7"/>
      <c r="Q224" s="7"/>
      <c r="U224" s="22">
        <v>1</v>
      </c>
      <c r="V224" s="22" t="s">
        <v>384</v>
      </c>
      <c r="W224" s="22"/>
      <c r="X224" s="22"/>
      <c r="Y224" s="22"/>
      <c r="AI224" s="19"/>
    </row>
    <row r="225" spans="1:35" x14ac:dyDescent="0.35">
      <c r="A225" s="1"/>
      <c r="B225" s="7">
        <v>2</v>
      </c>
      <c r="C225" s="7" t="s">
        <v>385</v>
      </c>
      <c r="D225" s="7">
        <v>5</v>
      </c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22">
        <v>2</v>
      </c>
      <c r="V225" s="22" t="s">
        <v>386</v>
      </c>
      <c r="W225" s="22"/>
      <c r="X225" s="22"/>
      <c r="Y225" s="22"/>
      <c r="Z225" s="7"/>
    </row>
    <row r="226" spans="1:35" x14ac:dyDescent="0.35">
      <c r="B226" s="7">
        <v>3</v>
      </c>
      <c r="C226" s="7" t="s">
        <v>387</v>
      </c>
      <c r="D226" s="7">
        <v>10</v>
      </c>
      <c r="H226" s="7">
        <v>1</v>
      </c>
      <c r="I226" s="7" t="s">
        <v>388</v>
      </c>
      <c r="J226" s="7"/>
      <c r="K226" s="7"/>
      <c r="L226" s="7"/>
      <c r="N226" s="7">
        <v>1</v>
      </c>
      <c r="O226" s="7" t="s">
        <v>389</v>
      </c>
      <c r="P226" s="7"/>
      <c r="Q226" s="7"/>
      <c r="U226" s="22">
        <v>3</v>
      </c>
      <c r="V226" s="22" t="s">
        <v>390</v>
      </c>
      <c r="W226" s="22"/>
      <c r="X226" s="22"/>
      <c r="Y226" s="22"/>
    </row>
    <row r="227" spans="1:35" x14ac:dyDescent="0.35">
      <c r="A227" s="7"/>
      <c r="B227" s="7">
        <v>4</v>
      </c>
      <c r="C227" s="7" t="s">
        <v>391</v>
      </c>
      <c r="D227" s="7">
        <v>15</v>
      </c>
      <c r="E227" s="76"/>
      <c r="H227" s="7">
        <v>2</v>
      </c>
      <c r="I227" s="7" t="s">
        <v>392</v>
      </c>
      <c r="M227" s="7"/>
      <c r="N227" s="7">
        <v>2</v>
      </c>
      <c r="O227" s="7" t="s">
        <v>393</v>
      </c>
      <c r="P227" s="7"/>
      <c r="Q227" s="7"/>
      <c r="R227" s="7"/>
      <c r="S227" s="7"/>
      <c r="T227" s="76"/>
      <c r="U227" s="22">
        <v>4</v>
      </c>
      <c r="V227" s="22" t="s">
        <v>394</v>
      </c>
      <c r="W227" s="22"/>
      <c r="X227" s="80"/>
      <c r="Y227" s="22"/>
      <c r="Z227" s="7"/>
      <c r="AA227" s="7"/>
      <c r="AB227" s="7"/>
      <c r="AC227" s="7"/>
      <c r="AD227" s="7"/>
      <c r="AE227" s="7"/>
      <c r="AF227" s="76"/>
      <c r="AG227" s="76"/>
      <c r="AH227" s="7"/>
      <c r="AI227" s="7"/>
    </row>
    <row r="228" spans="1:35" x14ac:dyDescent="0.35">
      <c r="A228" s="7"/>
      <c r="B228" s="7">
        <v>5</v>
      </c>
      <c r="C228" s="7" t="s">
        <v>395</v>
      </c>
      <c r="D228" s="7">
        <v>20</v>
      </c>
      <c r="E228" s="76"/>
      <c r="H228" s="7">
        <v>3</v>
      </c>
      <c r="I228" s="7" t="s">
        <v>396</v>
      </c>
      <c r="J228" s="7"/>
      <c r="K228" s="7"/>
      <c r="L228" s="7"/>
      <c r="M228" s="7"/>
      <c r="N228" s="7">
        <v>3</v>
      </c>
      <c r="O228" s="7" t="s">
        <v>397</v>
      </c>
      <c r="P228" s="7"/>
      <c r="Q228" s="7"/>
      <c r="R228" s="7"/>
      <c r="S228" s="7"/>
      <c r="T228" s="76"/>
      <c r="U228" s="22">
        <v>5</v>
      </c>
      <c r="V228" s="22" t="s">
        <v>398</v>
      </c>
      <c r="W228" s="22"/>
      <c r="X228" s="22"/>
      <c r="Y228" s="22"/>
      <c r="Z228" s="7"/>
      <c r="AA228" s="7"/>
      <c r="AB228" s="7"/>
      <c r="AC228" s="7"/>
      <c r="AD228" s="7"/>
      <c r="AE228" s="7"/>
      <c r="AF228" s="76"/>
      <c r="AG228" s="76"/>
      <c r="AH228" s="7"/>
      <c r="AI228" s="7"/>
    </row>
    <row r="229" spans="1:35" x14ac:dyDescent="0.35">
      <c r="A229" s="7"/>
      <c r="B229" s="7">
        <v>6</v>
      </c>
      <c r="C229" s="7" t="s">
        <v>399</v>
      </c>
      <c r="D229" s="7">
        <v>25</v>
      </c>
      <c r="E229" s="76"/>
      <c r="H229" s="7">
        <v>4</v>
      </c>
      <c r="I229" s="7" t="s">
        <v>400</v>
      </c>
      <c r="J229" s="7"/>
      <c r="K229" s="7"/>
      <c r="L229" s="7"/>
      <c r="M229" s="7"/>
      <c r="N229" s="7">
        <v>4</v>
      </c>
      <c r="O229" s="7" t="s">
        <v>401</v>
      </c>
      <c r="P229" s="7"/>
      <c r="Q229" s="7"/>
      <c r="R229" s="7"/>
      <c r="S229" s="7"/>
      <c r="T229" s="76"/>
      <c r="U229" s="22">
        <v>6</v>
      </c>
      <c r="V229" s="22" t="s">
        <v>402</v>
      </c>
      <c r="W229" s="22"/>
      <c r="X229" s="22"/>
      <c r="Y229" s="22"/>
      <c r="Z229" s="7"/>
      <c r="AA229" s="7"/>
      <c r="AB229" s="7"/>
      <c r="AC229" s="7"/>
      <c r="AD229" s="7"/>
      <c r="AE229" s="7"/>
      <c r="AF229" s="76"/>
      <c r="AG229" s="76"/>
      <c r="AH229" s="7"/>
      <c r="AI229" s="7"/>
    </row>
    <row r="230" spans="1:35" x14ac:dyDescent="0.35">
      <c r="B230" s="7">
        <v>7</v>
      </c>
      <c r="C230" s="7" t="s">
        <v>403</v>
      </c>
      <c r="D230" s="7">
        <v>30</v>
      </c>
      <c r="H230" s="7">
        <v>5</v>
      </c>
      <c r="I230" s="7" t="s">
        <v>404</v>
      </c>
      <c r="J230" s="7"/>
      <c r="K230" s="7"/>
      <c r="L230" s="7"/>
      <c r="N230" s="7">
        <v>5</v>
      </c>
      <c r="O230" s="7" t="s">
        <v>405</v>
      </c>
      <c r="P230" s="7"/>
      <c r="Q230" s="7"/>
      <c r="U230" s="22">
        <v>7</v>
      </c>
      <c r="V230" s="22" t="s">
        <v>406</v>
      </c>
      <c r="W230" s="22"/>
      <c r="X230" s="22"/>
      <c r="Y230" s="22"/>
    </row>
    <row r="231" spans="1:35" x14ac:dyDescent="0.35">
      <c r="B231" s="7">
        <v>8</v>
      </c>
      <c r="C231" s="7" t="s">
        <v>407</v>
      </c>
      <c r="D231" s="7">
        <v>35</v>
      </c>
      <c r="H231" s="7">
        <v>6</v>
      </c>
      <c r="I231" s="7" t="s">
        <v>408</v>
      </c>
      <c r="J231" s="7"/>
      <c r="K231" s="7"/>
      <c r="L231" s="7"/>
      <c r="N231" s="7">
        <v>6</v>
      </c>
      <c r="O231" s="7" t="s">
        <v>409</v>
      </c>
      <c r="P231" s="7"/>
      <c r="Q231" s="7"/>
      <c r="U231" s="22">
        <v>8</v>
      </c>
      <c r="V231" s="22"/>
      <c r="W231" s="22"/>
      <c r="X231" s="22"/>
      <c r="Y231" s="22"/>
    </row>
    <row r="232" spans="1:35" x14ac:dyDescent="0.35">
      <c r="B232" s="7">
        <v>9</v>
      </c>
      <c r="C232" s="7" t="s">
        <v>410</v>
      </c>
      <c r="D232" s="7">
        <v>40</v>
      </c>
      <c r="H232" s="7">
        <v>7</v>
      </c>
      <c r="I232" s="7" t="s">
        <v>411</v>
      </c>
      <c r="J232" s="7"/>
      <c r="K232" s="7"/>
      <c r="L232" s="7"/>
      <c r="N232" s="7">
        <v>7</v>
      </c>
      <c r="O232" s="7" t="s">
        <v>412</v>
      </c>
      <c r="P232" s="7"/>
      <c r="Q232" s="7"/>
    </row>
    <row r="233" spans="1:35" x14ac:dyDescent="0.35">
      <c r="B233" s="7">
        <v>10</v>
      </c>
      <c r="C233" s="7" t="s">
        <v>413</v>
      </c>
      <c r="D233" s="7">
        <v>45</v>
      </c>
      <c r="H233" s="7">
        <v>8</v>
      </c>
      <c r="I233" s="7" t="s">
        <v>349</v>
      </c>
      <c r="J233" s="7"/>
      <c r="K233" s="7"/>
      <c r="L233" s="7"/>
      <c r="N233" s="7">
        <v>8</v>
      </c>
      <c r="O233" s="7" t="s">
        <v>414</v>
      </c>
      <c r="P233" s="7"/>
      <c r="Q233" s="7"/>
    </row>
    <row r="234" spans="1:35" x14ac:dyDescent="0.35">
      <c r="B234" s="7">
        <v>11</v>
      </c>
      <c r="C234" s="7" t="s">
        <v>415</v>
      </c>
      <c r="D234" s="7">
        <v>50</v>
      </c>
      <c r="H234" s="7">
        <v>9</v>
      </c>
      <c r="I234" s="7" t="s">
        <v>350</v>
      </c>
      <c r="J234" s="7"/>
      <c r="K234" s="7"/>
      <c r="L234" s="7"/>
      <c r="N234" s="7">
        <v>9</v>
      </c>
      <c r="O234" s="7" t="s">
        <v>416</v>
      </c>
      <c r="P234" s="7"/>
      <c r="Q234" s="7"/>
    </row>
    <row r="235" spans="1:35" x14ac:dyDescent="0.35">
      <c r="B235" s="7">
        <v>12</v>
      </c>
      <c r="C235" s="7" t="s">
        <v>417</v>
      </c>
      <c r="D235" s="7">
        <v>55</v>
      </c>
      <c r="H235" s="7">
        <v>10</v>
      </c>
      <c r="I235" s="7" t="s">
        <v>348</v>
      </c>
      <c r="J235" s="7"/>
      <c r="K235" s="7"/>
      <c r="L235" s="7"/>
      <c r="N235" s="7">
        <v>10</v>
      </c>
      <c r="O235" s="7" t="s">
        <v>418</v>
      </c>
      <c r="P235" s="7"/>
      <c r="Q235" s="7"/>
    </row>
    <row r="236" spans="1:35" x14ac:dyDescent="0.35">
      <c r="B236" s="7">
        <v>13</v>
      </c>
      <c r="C236" s="7" t="s">
        <v>419</v>
      </c>
      <c r="D236" s="7">
        <v>60</v>
      </c>
      <c r="H236" s="7">
        <v>11</v>
      </c>
      <c r="I236" s="7" t="s">
        <v>352</v>
      </c>
      <c r="J236" s="7"/>
      <c r="K236" s="7"/>
      <c r="L236" s="7"/>
      <c r="N236" s="7">
        <v>11</v>
      </c>
      <c r="O236" s="7" t="s">
        <v>420</v>
      </c>
      <c r="P236" s="7"/>
      <c r="Q236" s="7"/>
    </row>
    <row r="237" spans="1:35" x14ac:dyDescent="0.35">
      <c r="B237" s="7">
        <v>14</v>
      </c>
      <c r="C237" s="7" t="s">
        <v>421</v>
      </c>
      <c r="D237" s="7">
        <v>65</v>
      </c>
      <c r="H237" s="7">
        <v>12</v>
      </c>
      <c r="I237" s="7" t="s">
        <v>422</v>
      </c>
      <c r="J237" s="7"/>
      <c r="K237" s="7"/>
      <c r="L237" s="7"/>
      <c r="N237" s="7">
        <v>12</v>
      </c>
      <c r="O237" s="7" t="s">
        <v>423</v>
      </c>
      <c r="P237" s="7"/>
      <c r="Q237" s="7"/>
    </row>
    <row r="238" spans="1:35" x14ac:dyDescent="0.35">
      <c r="B238" s="7">
        <v>15</v>
      </c>
      <c r="C238" s="7" t="s">
        <v>424</v>
      </c>
      <c r="D238" s="7">
        <v>70</v>
      </c>
      <c r="H238" s="7">
        <v>13</v>
      </c>
      <c r="I238" s="7" t="s">
        <v>425</v>
      </c>
      <c r="J238" s="7"/>
      <c r="K238" s="7"/>
      <c r="L238" s="7"/>
      <c r="N238" s="7">
        <v>13</v>
      </c>
      <c r="O238" s="7" t="s">
        <v>426</v>
      </c>
      <c r="P238" s="7"/>
      <c r="Q238" s="7"/>
    </row>
    <row r="239" spans="1:35" x14ac:dyDescent="0.35">
      <c r="B239" s="7">
        <v>16</v>
      </c>
      <c r="C239" s="7" t="s">
        <v>427</v>
      </c>
      <c r="D239" s="7">
        <v>75</v>
      </c>
      <c r="H239" s="7">
        <v>14</v>
      </c>
      <c r="I239" s="7" t="s">
        <v>428</v>
      </c>
      <c r="J239" s="7"/>
      <c r="K239" s="7"/>
      <c r="L239" s="7"/>
      <c r="N239" s="7">
        <v>14</v>
      </c>
      <c r="O239" s="7" t="s">
        <v>429</v>
      </c>
      <c r="P239" s="7"/>
      <c r="Q239" s="7"/>
    </row>
    <row r="240" spans="1:35" x14ac:dyDescent="0.35">
      <c r="B240" s="7">
        <v>17</v>
      </c>
      <c r="C240" s="7" t="s">
        <v>430</v>
      </c>
      <c r="D240" s="7">
        <v>80</v>
      </c>
      <c r="H240" s="7">
        <v>15</v>
      </c>
      <c r="I240" s="7" t="s">
        <v>431</v>
      </c>
      <c r="J240" s="7"/>
      <c r="K240" s="7"/>
      <c r="L240" s="7"/>
      <c r="N240" s="7">
        <v>15</v>
      </c>
      <c r="O240" s="7" t="s">
        <v>432</v>
      </c>
      <c r="P240" s="7"/>
      <c r="Q240" s="7"/>
    </row>
    <row r="241" spans="2:17" x14ac:dyDescent="0.35">
      <c r="B241" s="7">
        <v>18</v>
      </c>
      <c r="C241" s="7" t="s">
        <v>433</v>
      </c>
      <c r="D241" s="7">
        <v>85</v>
      </c>
      <c r="H241" s="7">
        <v>16</v>
      </c>
      <c r="I241" s="7" t="s">
        <v>434</v>
      </c>
      <c r="J241" s="7"/>
      <c r="K241" s="7"/>
      <c r="L241" s="7"/>
      <c r="N241" s="7">
        <v>16</v>
      </c>
      <c r="O241" s="7" t="s">
        <v>435</v>
      </c>
      <c r="P241" s="7"/>
      <c r="Q241" s="7"/>
    </row>
    <row r="242" spans="2:17" x14ac:dyDescent="0.35">
      <c r="B242" s="7">
        <v>19</v>
      </c>
      <c r="C242" s="7" t="s">
        <v>436</v>
      </c>
      <c r="D242" s="7">
        <v>90</v>
      </c>
      <c r="H242" s="7">
        <v>17</v>
      </c>
      <c r="I242" s="7" t="s">
        <v>437</v>
      </c>
      <c r="J242" s="7"/>
      <c r="K242" s="7"/>
      <c r="L242" s="7"/>
      <c r="N242" s="7">
        <v>17</v>
      </c>
      <c r="O242" s="7" t="s">
        <v>438</v>
      </c>
      <c r="P242" s="7"/>
      <c r="Q242" s="7"/>
    </row>
    <row r="243" spans="2:17" x14ac:dyDescent="0.35">
      <c r="B243" s="7">
        <v>20</v>
      </c>
      <c r="C243" s="7" t="s">
        <v>439</v>
      </c>
      <c r="D243" s="7">
        <v>95</v>
      </c>
      <c r="H243" s="7">
        <v>18</v>
      </c>
      <c r="I243" s="7" t="s">
        <v>440</v>
      </c>
      <c r="J243" s="7"/>
      <c r="K243" s="7"/>
      <c r="L243" s="7"/>
      <c r="N243" s="7">
        <v>18</v>
      </c>
      <c r="O243" s="7" t="s">
        <v>441</v>
      </c>
      <c r="P243" s="7"/>
      <c r="Q243" s="7"/>
    </row>
    <row r="244" spans="2:17" x14ac:dyDescent="0.35">
      <c r="B244" s="7">
        <v>21</v>
      </c>
      <c r="C244" s="7" t="s">
        <v>442</v>
      </c>
      <c r="D244" s="7">
        <v>100</v>
      </c>
      <c r="H244" s="7">
        <v>19</v>
      </c>
      <c r="I244" s="7" t="s">
        <v>443</v>
      </c>
      <c r="J244" s="7"/>
      <c r="K244" s="7"/>
      <c r="L244" s="7"/>
      <c r="N244" s="7">
        <v>19</v>
      </c>
      <c r="O244" s="7" t="s">
        <v>444</v>
      </c>
      <c r="P244" s="7"/>
      <c r="Q244" s="7"/>
    </row>
    <row r="245" spans="2:17" x14ac:dyDescent="0.35">
      <c r="B245" s="7">
        <v>22</v>
      </c>
      <c r="C245" s="7" t="s">
        <v>445</v>
      </c>
      <c r="D245" s="7">
        <v>105</v>
      </c>
      <c r="H245" s="7">
        <v>20</v>
      </c>
      <c r="I245" s="7" t="s">
        <v>446</v>
      </c>
      <c r="J245" s="7"/>
      <c r="K245" s="7"/>
      <c r="L245" s="7"/>
      <c r="N245" s="7">
        <v>20</v>
      </c>
      <c r="O245" s="7" t="s">
        <v>447</v>
      </c>
      <c r="P245" s="7"/>
      <c r="Q245" s="7"/>
    </row>
    <row r="246" spans="2:17" x14ac:dyDescent="0.35">
      <c r="B246" s="7">
        <v>23</v>
      </c>
      <c r="C246" s="7" t="s">
        <v>448</v>
      </c>
      <c r="D246" s="7">
        <v>110</v>
      </c>
      <c r="H246" s="7">
        <v>21</v>
      </c>
      <c r="I246" s="7" t="s">
        <v>449</v>
      </c>
      <c r="J246" s="7"/>
      <c r="K246" s="7"/>
      <c r="L246" s="7"/>
      <c r="N246" s="7">
        <v>21</v>
      </c>
      <c r="O246" s="7" t="s">
        <v>450</v>
      </c>
      <c r="P246" s="7"/>
      <c r="Q246" s="7"/>
    </row>
    <row r="247" spans="2:17" x14ac:dyDescent="0.35">
      <c r="B247" s="7">
        <v>24</v>
      </c>
      <c r="C247" s="7" t="s">
        <v>451</v>
      </c>
      <c r="D247" s="7">
        <v>115</v>
      </c>
      <c r="H247" s="7">
        <v>22</v>
      </c>
      <c r="I247" s="7" t="s">
        <v>341</v>
      </c>
      <c r="J247" s="7"/>
      <c r="K247" s="7"/>
      <c r="L247" s="7"/>
      <c r="N247" s="7">
        <v>22</v>
      </c>
      <c r="O247" s="7" t="s">
        <v>452</v>
      </c>
      <c r="P247" s="7"/>
      <c r="Q247" s="7"/>
    </row>
    <row r="248" spans="2:17" x14ac:dyDescent="0.35">
      <c r="B248" s="7">
        <v>25</v>
      </c>
      <c r="C248" s="7" t="s">
        <v>453</v>
      </c>
      <c r="D248" s="7">
        <v>120</v>
      </c>
      <c r="H248" s="7">
        <v>23</v>
      </c>
      <c r="I248" s="7" t="s">
        <v>343</v>
      </c>
      <c r="J248" s="7"/>
      <c r="K248" s="7"/>
      <c r="L248" s="7"/>
      <c r="N248" s="7">
        <v>23</v>
      </c>
      <c r="O248" s="7" t="s">
        <v>454</v>
      </c>
      <c r="P248" s="7"/>
      <c r="Q248" s="7"/>
    </row>
    <row r="249" spans="2:17" x14ac:dyDescent="0.35">
      <c r="B249" s="7">
        <v>26</v>
      </c>
      <c r="C249" s="7" t="s">
        <v>455</v>
      </c>
      <c r="D249" s="7">
        <v>125</v>
      </c>
      <c r="H249" s="7">
        <v>24</v>
      </c>
      <c r="I249" s="7" t="s">
        <v>456</v>
      </c>
      <c r="J249" s="7"/>
      <c r="K249" s="7"/>
      <c r="L249" s="7"/>
      <c r="N249" s="7">
        <v>24</v>
      </c>
      <c r="O249" s="7" t="s">
        <v>457</v>
      </c>
      <c r="P249" s="7"/>
      <c r="Q249" s="7"/>
    </row>
    <row r="250" spans="2:17" x14ac:dyDescent="0.35">
      <c r="B250" s="7">
        <v>27</v>
      </c>
      <c r="C250" s="7" t="s">
        <v>458</v>
      </c>
      <c r="D250" s="7">
        <v>130</v>
      </c>
      <c r="H250" s="7">
        <v>25</v>
      </c>
      <c r="I250" s="7" t="s">
        <v>459</v>
      </c>
      <c r="J250" s="7"/>
      <c r="K250" s="7"/>
      <c r="L250" s="7"/>
      <c r="N250" s="7">
        <v>25</v>
      </c>
      <c r="O250" s="7" t="s">
        <v>460</v>
      </c>
      <c r="P250" s="7"/>
      <c r="Q250" s="7"/>
    </row>
    <row r="251" spans="2:17" x14ac:dyDescent="0.35">
      <c r="B251" s="7">
        <v>28</v>
      </c>
      <c r="C251" s="7" t="s">
        <v>461</v>
      </c>
      <c r="D251" s="7">
        <v>135</v>
      </c>
      <c r="H251" s="7">
        <v>26</v>
      </c>
      <c r="I251" s="7" t="s">
        <v>462</v>
      </c>
      <c r="J251" s="7"/>
      <c r="K251" s="7"/>
      <c r="L251" s="7"/>
    </row>
    <row r="252" spans="2:17" x14ac:dyDescent="0.35">
      <c r="B252" s="7">
        <v>29</v>
      </c>
      <c r="C252" s="7" t="s">
        <v>463</v>
      </c>
      <c r="D252" s="7">
        <v>140</v>
      </c>
      <c r="H252" s="7">
        <v>27</v>
      </c>
      <c r="I252" s="7" t="s">
        <v>464</v>
      </c>
      <c r="J252" s="7"/>
      <c r="K252" s="7"/>
      <c r="L252" s="7"/>
    </row>
    <row r="253" spans="2:17" x14ac:dyDescent="0.35">
      <c r="H253" s="7">
        <v>28</v>
      </c>
      <c r="I253" s="7" t="s">
        <v>465</v>
      </c>
      <c r="J253" s="7"/>
      <c r="K253" s="7"/>
      <c r="L253" s="7"/>
    </row>
    <row r="254" spans="2:17" x14ac:dyDescent="0.35">
      <c r="H254" s="7">
        <v>29</v>
      </c>
      <c r="I254" s="7" t="s">
        <v>466</v>
      </c>
      <c r="J254" s="7"/>
      <c r="K254" s="7"/>
      <c r="L254" s="7"/>
    </row>
    <row r="255" spans="2:17" x14ac:dyDescent="0.35">
      <c r="H255" s="7">
        <v>30</v>
      </c>
      <c r="I255" s="7" t="s">
        <v>467</v>
      </c>
      <c r="J255" s="7"/>
      <c r="K255" s="7"/>
      <c r="L255" s="7"/>
    </row>
    <row r="256" spans="2:17" x14ac:dyDescent="0.35">
      <c r="H256" s="7"/>
      <c r="I256" s="7" t="s">
        <v>22</v>
      </c>
      <c r="J256" s="7"/>
      <c r="K256" s="7"/>
      <c r="L256" s="7"/>
    </row>
    <row r="257" spans="8:12" x14ac:dyDescent="0.35">
      <c r="H257" s="1"/>
      <c r="I257" s="7"/>
      <c r="J257" s="7"/>
      <c r="K257" s="7"/>
      <c r="L257" s="7"/>
    </row>
    <row r="258" spans="8:12" x14ac:dyDescent="0.35">
      <c r="H258" s="7"/>
      <c r="I258" s="7"/>
      <c r="J258" s="7"/>
      <c r="K258" s="7"/>
      <c r="L258" s="7"/>
    </row>
    <row r="259" spans="8:12" x14ac:dyDescent="0.35">
      <c r="H259" s="7"/>
      <c r="I259" s="7"/>
      <c r="J259" s="7"/>
      <c r="K259" s="7"/>
      <c r="L259" s="7"/>
    </row>
    <row r="260" spans="8:12" x14ac:dyDescent="0.35">
      <c r="H260" s="7"/>
      <c r="I260" s="7"/>
      <c r="J260" s="7"/>
      <c r="K260" s="7"/>
      <c r="L260" s="7"/>
    </row>
    <row r="261" spans="8:12" x14ac:dyDescent="0.35">
      <c r="H261" s="7"/>
      <c r="I261" s="7"/>
      <c r="J261" s="7"/>
      <c r="K261" s="7"/>
      <c r="L261" s="7"/>
    </row>
    <row r="262" spans="8:12" x14ac:dyDescent="0.35">
      <c r="H262" s="7"/>
      <c r="I262" s="7"/>
      <c r="J262" s="7"/>
      <c r="K262" s="7"/>
      <c r="L262" s="7"/>
    </row>
    <row r="263" spans="8:12" x14ac:dyDescent="0.35">
      <c r="H263" s="7"/>
      <c r="I263" s="7"/>
      <c r="J263" s="7"/>
      <c r="K263" s="7"/>
      <c r="L263" s="7"/>
    </row>
    <row r="264" spans="8:12" x14ac:dyDescent="0.35">
      <c r="H264" s="7"/>
      <c r="I264" s="7"/>
      <c r="J264" s="7"/>
      <c r="K264" s="7"/>
      <c r="L264" s="7"/>
    </row>
    <row r="265" spans="8:12" x14ac:dyDescent="0.35">
      <c r="H265" s="7"/>
      <c r="I265" s="7"/>
      <c r="J265" s="7"/>
      <c r="K265" s="7"/>
      <c r="L265" s="7"/>
    </row>
    <row r="266" spans="8:12" x14ac:dyDescent="0.35">
      <c r="H266" s="7"/>
      <c r="I266" s="7"/>
      <c r="J266" s="7"/>
      <c r="K266" s="7"/>
      <c r="L266" s="7"/>
    </row>
    <row r="267" spans="8:12" x14ac:dyDescent="0.35">
      <c r="H267" s="7"/>
      <c r="I267" s="7"/>
      <c r="J267" s="7"/>
      <c r="K267" s="7"/>
      <c r="L267" s="7"/>
    </row>
    <row r="268" spans="8:12" x14ac:dyDescent="0.35">
      <c r="H268" s="7"/>
      <c r="I268" s="7"/>
      <c r="J268" s="7"/>
      <c r="K268" s="7"/>
      <c r="L268" s="7"/>
    </row>
    <row r="269" spans="8:12" x14ac:dyDescent="0.35">
      <c r="H269" s="7"/>
      <c r="I269" s="7"/>
      <c r="J269" s="7"/>
      <c r="K269" s="7"/>
      <c r="L269" s="7"/>
    </row>
    <row r="270" spans="8:12" x14ac:dyDescent="0.35">
      <c r="H270" s="7"/>
      <c r="I270" s="7"/>
      <c r="J270" s="7"/>
      <c r="K270" s="7"/>
      <c r="L270" s="7"/>
    </row>
    <row r="271" spans="8:12" x14ac:dyDescent="0.35">
      <c r="H271" s="7"/>
      <c r="I271" s="7"/>
      <c r="J271" s="7"/>
      <c r="K271" s="7"/>
      <c r="L271" s="7"/>
    </row>
    <row r="272" spans="8:12" x14ac:dyDescent="0.35">
      <c r="H272" s="7"/>
      <c r="I272" s="7"/>
      <c r="J272" s="7"/>
      <c r="K272" s="7"/>
      <c r="L272" s="7"/>
    </row>
    <row r="273" spans="8:12" x14ac:dyDescent="0.35">
      <c r="H273" s="7"/>
      <c r="I273" s="7"/>
      <c r="J273" s="7"/>
      <c r="K273" s="7"/>
      <c r="L273" s="7"/>
    </row>
    <row r="274" spans="8:12" x14ac:dyDescent="0.35">
      <c r="H274" s="7"/>
      <c r="I274" s="7"/>
      <c r="J274" s="7"/>
      <c r="K274" s="7"/>
      <c r="L274" s="7"/>
    </row>
    <row r="275" spans="8:12" x14ac:dyDescent="0.35">
      <c r="H275" s="7"/>
      <c r="I275" s="7"/>
      <c r="J275" s="7"/>
      <c r="K275" s="7"/>
      <c r="L275" s="7"/>
    </row>
    <row r="276" spans="8:12" x14ac:dyDescent="0.35">
      <c r="H276" s="7"/>
      <c r="I276" s="7"/>
      <c r="J276" s="7"/>
      <c r="K276" s="7"/>
      <c r="L276" s="7"/>
    </row>
    <row r="277" spans="8:12" x14ac:dyDescent="0.35">
      <c r="H277" s="7"/>
      <c r="I277" s="7"/>
      <c r="J277" s="7"/>
      <c r="K277" s="7"/>
      <c r="L277" s="7"/>
    </row>
    <row r="278" spans="8:12" x14ac:dyDescent="0.35">
      <c r="H278" s="7"/>
      <c r="I278" s="7"/>
      <c r="J278" s="7"/>
      <c r="K278" s="7"/>
      <c r="L278" s="7"/>
    </row>
    <row r="279" spans="8:12" x14ac:dyDescent="0.35">
      <c r="H279" s="7"/>
      <c r="I279" s="7"/>
      <c r="J279" s="7"/>
      <c r="K279" s="7"/>
      <c r="L279" s="7"/>
    </row>
    <row r="280" spans="8:12" x14ac:dyDescent="0.35">
      <c r="H280" s="7"/>
      <c r="I280" s="7"/>
      <c r="J280" s="7"/>
      <c r="K280" s="7"/>
      <c r="L280" s="7"/>
    </row>
    <row r="281" spans="8:12" x14ac:dyDescent="0.35">
      <c r="H281" s="7"/>
      <c r="I281" s="7"/>
      <c r="J281" s="7"/>
      <c r="K281" s="7"/>
      <c r="L281" s="7"/>
    </row>
    <row r="282" spans="8:12" x14ac:dyDescent="0.35">
      <c r="H282" s="7"/>
      <c r="I282" s="7"/>
      <c r="J282" s="7"/>
      <c r="K282" s="7"/>
      <c r="L282" s="7"/>
    </row>
    <row r="283" spans="8:12" x14ac:dyDescent="0.35">
      <c r="H283" s="7"/>
      <c r="I283" s="7"/>
      <c r="J283" s="7"/>
      <c r="K283" s="7"/>
      <c r="L283" s="7"/>
    </row>
  </sheetData>
  <printOptions gridLines="1"/>
  <pageMargins left="0.78740157499999996" right="0.78740157499999996" top="0.984251969" bottom="0.984251969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0AE585-A54B-4118-8A8D-C6F6C6756803}">
  <dimension ref="A1:AE515"/>
  <sheetViews>
    <sheetView workbookViewId="0">
      <pane xSplit="3" ySplit="1" topLeftCell="D8" activePane="bottomRight" state="frozenSplit"/>
      <selection activeCell="D2" sqref="D2"/>
      <selection pane="topRight"/>
      <selection pane="bottomLeft"/>
      <selection pane="bottomRight" activeCell="D8" sqref="D8"/>
    </sheetView>
  </sheetViews>
  <sheetFormatPr baseColWidth="10" defaultColWidth="10.3984375" defaultRowHeight="12.75" x14ac:dyDescent="0.35"/>
  <cols>
    <col min="1" max="1" width="2.73046875" style="22" customWidth="1"/>
    <col min="2" max="2" width="23.86328125" style="22" bestFit="1" customWidth="1"/>
    <col min="3" max="3" width="15.1328125" style="118" bestFit="1" customWidth="1"/>
    <col min="4" max="4" width="7.73046875" style="109" bestFit="1" customWidth="1"/>
    <col min="5" max="5" width="7.3984375" style="109" bestFit="1" customWidth="1"/>
    <col min="6" max="6" width="8.59765625" style="109" bestFit="1" customWidth="1"/>
    <col min="7" max="7" width="5.73046875" style="107" customWidth="1"/>
    <col min="8" max="8" width="5.73046875" style="22" bestFit="1" customWidth="1"/>
    <col min="9" max="15" width="5.73046875" style="22" customWidth="1"/>
    <col min="16" max="16" width="5.73046875" style="106" customWidth="1"/>
    <col min="17" max="24" width="5.73046875" style="22" customWidth="1"/>
    <col min="25" max="25" width="6.73046875" style="106" customWidth="1"/>
    <col min="26" max="29" width="6.73046875" style="22" customWidth="1"/>
    <col min="30" max="30" width="9.265625" style="106" bestFit="1" customWidth="1"/>
    <col min="31" max="31" width="9" style="108" bestFit="1" customWidth="1"/>
  </cols>
  <sheetData>
    <row r="1" spans="1:31" s="92" customFormat="1" x14ac:dyDescent="0.35">
      <c r="A1" s="81"/>
      <c r="B1" s="82" t="s">
        <v>468</v>
      </c>
      <c r="C1" s="82" t="s">
        <v>469</v>
      </c>
      <c r="D1" s="83" t="s">
        <v>470</v>
      </c>
      <c r="E1" s="84" t="s">
        <v>471</v>
      </c>
      <c r="F1" s="85" t="s">
        <v>472</v>
      </c>
      <c r="G1" s="86" t="s">
        <v>473</v>
      </c>
      <c r="H1" s="83" t="s">
        <v>474</v>
      </c>
      <c r="I1" s="86" t="s">
        <v>475</v>
      </c>
      <c r="J1" s="86" t="s">
        <v>476</v>
      </c>
      <c r="K1" s="86" t="s">
        <v>477</v>
      </c>
      <c r="L1" s="86" t="s">
        <v>476</v>
      </c>
      <c r="M1" s="86" t="s">
        <v>475</v>
      </c>
      <c r="N1" s="83" t="s">
        <v>474</v>
      </c>
      <c r="O1" s="87" t="s">
        <v>473</v>
      </c>
      <c r="P1" s="84" t="s">
        <v>478</v>
      </c>
      <c r="Q1" s="84" t="s">
        <v>479</v>
      </c>
      <c r="R1" s="84" t="s">
        <v>480</v>
      </c>
      <c r="S1" s="84" t="s">
        <v>481</v>
      </c>
      <c r="T1" s="84" t="s">
        <v>482</v>
      </c>
      <c r="U1" s="84" t="s">
        <v>481</v>
      </c>
      <c r="V1" s="84" t="s">
        <v>480</v>
      </c>
      <c r="W1" s="84" t="s">
        <v>479</v>
      </c>
      <c r="X1" s="88" t="s">
        <v>478</v>
      </c>
      <c r="Y1" s="89" t="s">
        <v>483</v>
      </c>
      <c r="Z1" s="89" t="s">
        <v>484</v>
      </c>
      <c r="AA1" s="89" t="s">
        <v>485</v>
      </c>
      <c r="AB1" s="89" t="s">
        <v>486</v>
      </c>
      <c r="AC1" s="90" t="s">
        <v>487</v>
      </c>
      <c r="AD1" s="91" t="s">
        <v>488</v>
      </c>
      <c r="AE1" s="91" t="s">
        <v>489</v>
      </c>
    </row>
    <row r="2" spans="1:31" x14ac:dyDescent="0.35">
      <c r="A2" s="22">
        <v>1</v>
      </c>
      <c r="B2" s="93" t="s">
        <v>490</v>
      </c>
      <c r="C2" s="94" t="s">
        <v>362</v>
      </c>
      <c r="D2" s="95">
        <v>12.054</v>
      </c>
      <c r="E2" s="96">
        <v>2.65</v>
      </c>
      <c r="F2" s="97">
        <f>D2*E2</f>
        <v>31.943100000000001</v>
      </c>
      <c r="G2" s="97"/>
      <c r="H2" s="98">
        <f>D2</f>
        <v>12.054</v>
      </c>
      <c r="I2" s="99">
        <f>D3</f>
        <v>8.9920000000000009</v>
      </c>
      <c r="J2" s="99">
        <f>D4</f>
        <v>5.9560000000000004</v>
      </c>
      <c r="K2" s="99"/>
      <c r="L2" s="99"/>
      <c r="M2" s="99"/>
      <c r="N2" s="100"/>
      <c r="O2" s="100">
        <f>D5</f>
        <v>6.4729999999999999</v>
      </c>
      <c r="P2" s="99"/>
      <c r="Q2" s="99">
        <f>E2</f>
        <v>2.65</v>
      </c>
      <c r="R2" s="99">
        <f>E3</f>
        <v>3.15</v>
      </c>
      <c r="S2" s="99">
        <f>E4</f>
        <v>3.85</v>
      </c>
      <c r="T2" s="99"/>
      <c r="U2" s="99"/>
      <c r="V2" s="99"/>
      <c r="W2" s="100"/>
      <c r="X2" s="100">
        <f>E5</f>
        <v>4.7</v>
      </c>
      <c r="Y2" s="99">
        <f>H2*Q2</f>
        <v>31.943100000000001</v>
      </c>
      <c r="Z2" s="99">
        <f>I2*R2</f>
        <v>28.324800000000003</v>
      </c>
      <c r="AA2" s="99">
        <f>J2*S2</f>
        <v>22.930600000000002</v>
      </c>
      <c r="AB2" s="99"/>
      <c r="AC2" s="100">
        <f>O2*X2</f>
        <v>30.423100000000002</v>
      </c>
      <c r="AD2" s="99">
        <f>Y2+Z2+AA2+AC2</f>
        <v>113.62160000000002</v>
      </c>
      <c r="AE2" s="99">
        <f>AD2-AC2</f>
        <v>83.19850000000001</v>
      </c>
    </row>
    <row r="3" spans="1:31" x14ac:dyDescent="0.35">
      <c r="B3" s="101"/>
      <c r="C3" s="102" t="s">
        <v>16</v>
      </c>
      <c r="D3" s="98">
        <v>8.9920000000000009</v>
      </c>
      <c r="E3" s="99">
        <v>3.15</v>
      </c>
      <c r="F3" s="100">
        <f>D3*E3</f>
        <v>28.324800000000003</v>
      </c>
      <c r="G3" s="103"/>
      <c r="H3" s="104"/>
      <c r="I3" s="104"/>
      <c r="J3" s="104"/>
      <c r="K3" s="104"/>
      <c r="L3" s="104"/>
      <c r="M3" s="104"/>
      <c r="N3" s="104"/>
      <c r="O3" s="104"/>
      <c r="P3" s="101"/>
      <c r="Q3" s="104"/>
      <c r="R3" s="104"/>
      <c r="S3" s="104"/>
      <c r="T3" s="104"/>
      <c r="U3" s="104"/>
      <c r="V3" s="104"/>
      <c r="W3" s="104"/>
      <c r="X3" s="104"/>
      <c r="Y3" s="101"/>
      <c r="Z3" s="104"/>
      <c r="AA3" s="104"/>
      <c r="AB3" s="104"/>
      <c r="AC3" s="104"/>
      <c r="AD3" s="101"/>
      <c r="AE3" s="105"/>
    </row>
    <row r="4" spans="1:31" x14ac:dyDescent="0.35">
      <c r="B4" s="106"/>
      <c r="C4" s="102" t="s">
        <v>12</v>
      </c>
      <c r="D4" s="98">
        <v>5.9560000000000004</v>
      </c>
      <c r="E4" s="99">
        <v>3.85</v>
      </c>
      <c r="F4" s="100">
        <f>D4*E4</f>
        <v>22.930600000000002</v>
      </c>
    </row>
    <row r="5" spans="1:31" x14ac:dyDescent="0.35">
      <c r="B5" s="106"/>
      <c r="C5" s="102" t="s">
        <v>13</v>
      </c>
      <c r="D5" s="98">
        <v>6.4729999999999999</v>
      </c>
      <c r="E5" s="99">
        <v>4.7</v>
      </c>
      <c r="F5" s="100">
        <f>D5*E5</f>
        <v>30.423100000000002</v>
      </c>
    </row>
    <row r="6" spans="1:31" x14ac:dyDescent="0.35">
      <c r="B6" s="106"/>
      <c r="C6" s="94" t="s">
        <v>491</v>
      </c>
      <c r="D6" s="95">
        <f>SUM(D2:D5)</f>
        <v>33.475000000000001</v>
      </c>
      <c r="E6" s="96"/>
      <c r="F6" s="97">
        <f>SUM(F2:F5)</f>
        <v>113.62160000000002</v>
      </c>
      <c r="I6" s="109"/>
      <c r="J6" s="109"/>
      <c r="K6" s="109"/>
      <c r="L6" s="109"/>
      <c r="M6" s="109"/>
      <c r="N6" s="109"/>
      <c r="O6" s="109"/>
      <c r="P6" s="107"/>
      <c r="Q6" s="109"/>
      <c r="R6" s="109"/>
      <c r="S6" s="109"/>
      <c r="T6" s="109"/>
      <c r="U6" s="109"/>
      <c r="V6" s="109"/>
      <c r="W6" s="109"/>
      <c r="X6" s="109"/>
      <c r="Y6" s="107"/>
      <c r="Z6" s="109"/>
      <c r="AA6" s="109"/>
      <c r="AB6" s="109"/>
      <c r="AC6" s="109"/>
      <c r="AD6" s="107"/>
      <c r="AE6" s="110"/>
    </row>
    <row r="7" spans="1:31" x14ac:dyDescent="0.35">
      <c r="B7" s="93"/>
      <c r="C7" s="102" t="s">
        <v>492</v>
      </c>
      <c r="D7" s="98">
        <f>D6-D5</f>
        <v>27.002000000000002</v>
      </c>
      <c r="E7" s="99"/>
      <c r="F7" s="100">
        <f>F6-F5</f>
        <v>83.19850000000001</v>
      </c>
      <c r="G7" s="97"/>
      <c r="H7" s="111"/>
      <c r="I7" s="111"/>
      <c r="J7" s="111"/>
      <c r="K7" s="111"/>
      <c r="L7" s="111"/>
      <c r="M7" s="111"/>
      <c r="N7" s="111"/>
      <c r="O7" s="111"/>
      <c r="P7" s="93"/>
      <c r="Q7" s="111"/>
      <c r="R7" s="111"/>
      <c r="S7" s="111"/>
      <c r="T7" s="111"/>
      <c r="U7" s="111"/>
      <c r="V7" s="111"/>
      <c r="W7" s="111"/>
      <c r="X7" s="111"/>
      <c r="Y7" s="93"/>
      <c r="Z7" s="111"/>
      <c r="AA7" s="111"/>
      <c r="AB7" s="111"/>
      <c r="AC7" s="111"/>
      <c r="AD7" s="93"/>
      <c r="AE7" s="112"/>
    </row>
    <row r="8" spans="1:31" x14ac:dyDescent="0.35">
      <c r="A8" s="22">
        <v>2</v>
      </c>
      <c r="B8" s="93" t="s">
        <v>493</v>
      </c>
      <c r="C8" s="94" t="s">
        <v>362</v>
      </c>
      <c r="D8" s="95">
        <v>12.054</v>
      </c>
      <c r="E8" s="96">
        <v>2.65</v>
      </c>
      <c r="F8" s="97">
        <f>D8*E8</f>
        <v>31.943100000000001</v>
      </c>
      <c r="G8" s="97"/>
      <c r="H8" s="98">
        <f>D8</f>
        <v>12.054</v>
      </c>
      <c r="I8" s="99">
        <f>D9</f>
        <v>8.9920000000000009</v>
      </c>
      <c r="J8" s="99">
        <f>D10</f>
        <v>7.7290000000000001</v>
      </c>
      <c r="K8" s="99"/>
      <c r="L8" s="99"/>
      <c r="M8" s="99"/>
      <c r="N8" s="100"/>
      <c r="O8" s="100">
        <f>D11</f>
        <v>7.0650000000000004</v>
      </c>
      <c r="P8" s="99"/>
      <c r="Q8" s="99">
        <f>E8</f>
        <v>2.65</v>
      </c>
      <c r="R8" s="99">
        <f>E9</f>
        <v>3.15</v>
      </c>
      <c r="S8" s="99">
        <f>E10</f>
        <v>3.85</v>
      </c>
      <c r="T8" s="99"/>
      <c r="U8" s="99"/>
      <c r="V8" s="99"/>
      <c r="W8" s="100"/>
      <c r="X8" s="100">
        <f>E11</f>
        <v>4.7</v>
      </c>
      <c r="Y8" s="99">
        <f>H8*Q8</f>
        <v>31.943100000000001</v>
      </c>
      <c r="Z8" s="99">
        <f>I8*R8</f>
        <v>28.324800000000003</v>
      </c>
      <c r="AA8" s="99">
        <f>J8*S8</f>
        <v>29.75665</v>
      </c>
      <c r="AB8" s="99"/>
      <c r="AC8" s="100">
        <f>O8*X8</f>
        <v>33.205500000000001</v>
      </c>
      <c r="AD8" s="99">
        <f>Y8+Z8+AA8+AC8</f>
        <v>123.23005000000001</v>
      </c>
      <c r="AE8" s="99">
        <f>AD8-AC8</f>
        <v>90.024550000000005</v>
      </c>
    </row>
    <row r="9" spans="1:31" x14ac:dyDescent="0.35">
      <c r="B9" s="101"/>
      <c r="C9" s="102" t="s">
        <v>16</v>
      </c>
      <c r="D9" s="98">
        <v>8.9920000000000009</v>
      </c>
      <c r="E9" s="99">
        <v>3.15</v>
      </c>
      <c r="F9" s="100">
        <f>D9*E9</f>
        <v>28.324800000000003</v>
      </c>
      <c r="G9" s="103"/>
      <c r="H9" s="104"/>
      <c r="I9" s="104"/>
      <c r="J9" s="104"/>
      <c r="K9" s="104"/>
      <c r="L9" s="104"/>
      <c r="M9" s="104"/>
      <c r="N9" s="104"/>
      <c r="O9" s="104"/>
      <c r="P9" s="101"/>
      <c r="Q9" s="104"/>
      <c r="R9" s="104"/>
      <c r="S9" s="104"/>
      <c r="T9" s="104"/>
      <c r="U9" s="104"/>
      <c r="V9" s="104"/>
      <c r="W9" s="104"/>
      <c r="X9" s="104"/>
      <c r="Y9" s="101"/>
      <c r="Z9" s="104"/>
      <c r="AA9" s="104"/>
      <c r="AB9" s="104"/>
      <c r="AC9" s="104"/>
      <c r="AD9" s="101"/>
      <c r="AE9" s="105"/>
    </row>
    <row r="10" spans="1:31" x14ac:dyDescent="0.35">
      <c r="B10" s="106"/>
      <c r="C10" s="102" t="s">
        <v>12</v>
      </c>
      <c r="D10" s="98">
        <v>7.7290000000000001</v>
      </c>
      <c r="E10" s="99">
        <v>3.85</v>
      </c>
      <c r="F10" s="100">
        <f>D10*E10</f>
        <v>29.75665</v>
      </c>
    </row>
    <row r="11" spans="1:31" x14ac:dyDescent="0.35">
      <c r="B11" s="106"/>
      <c r="C11" s="102" t="s">
        <v>13</v>
      </c>
      <c r="D11" s="98">
        <v>7.0650000000000004</v>
      </c>
      <c r="E11" s="99">
        <v>4.7</v>
      </c>
      <c r="F11" s="100">
        <f>D11*E11</f>
        <v>33.205500000000001</v>
      </c>
    </row>
    <row r="12" spans="1:31" x14ac:dyDescent="0.35">
      <c r="B12" s="106"/>
      <c r="C12" s="94" t="s">
        <v>491</v>
      </c>
      <c r="D12" s="95">
        <f>SUM(D8:D11)</f>
        <v>35.839999999999996</v>
      </c>
      <c r="E12" s="96"/>
      <c r="F12" s="97">
        <f>SUM(F8:F11)</f>
        <v>123.23005000000001</v>
      </c>
      <c r="I12" s="109"/>
      <c r="J12" s="109"/>
      <c r="K12" s="109"/>
      <c r="L12" s="109"/>
      <c r="M12" s="109"/>
      <c r="N12" s="109"/>
      <c r="O12" s="109"/>
      <c r="P12" s="107"/>
      <c r="Q12" s="109"/>
      <c r="R12" s="109"/>
      <c r="S12" s="109"/>
      <c r="T12" s="109"/>
      <c r="U12" s="109"/>
      <c r="V12" s="109"/>
      <c r="W12" s="109"/>
      <c r="X12" s="109"/>
      <c r="Y12" s="107"/>
      <c r="Z12" s="109"/>
      <c r="AA12" s="109"/>
      <c r="AB12" s="109"/>
      <c r="AC12" s="109"/>
      <c r="AD12" s="107"/>
      <c r="AE12" s="110"/>
    </row>
    <row r="13" spans="1:31" x14ac:dyDescent="0.35">
      <c r="B13" s="93"/>
      <c r="C13" s="102" t="s">
        <v>492</v>
      </c>
      <c r="D13" s="98">
        <f>D12-D11</f>
        <v>28.774999999999995</v>
      </c>
      <c r="E13" s="99"/>
      <c r="F13" s="100">
        <f>F12-F11</f>
        <v>90.024550000000005</v>
      </c>
      <c r="G13" s="97"/>
      <c r="H13" s="111"/>
      <c r="I13" s="111"/>
      <c r="J13" s="111"/>
      <c r="K13" s="111"/>
      <c r="L13" s="111"/>
      <c r="M13" s="111"/>
      <c r="N13" s="111"/>
      <c r="O13" s="111"/>
      <c r="P13" s="93"/>
      <c r="Q13" s="111"/>
      <c r="R13" s="111"/>
      <c r="S13" s="111"/>
      <c r="T13" s="111"/>
      <c r="U13" s="111"/>
      <c r="V13" s="111"/>
      <c r="W13" s="111"/>
      <c r="X13" s="111"/>
      <c r="Y13" s="93"/>
      <c r="Z13" s="111"/>
      <c r="AA13" s="111"/>
      <c r="AB13" s="111"/>
      <c r="AC13" s="111"/>
      <c r="AD13" s="93"/>
      <c r="AE13" s="112"/>
    </row>
    <row r="14" spans="1:31" x14ac:dyDescent="0.35">
      <c r="A14" s="22">
        <v>3</v>
      </c>
      <c r="B14" s="93" t="s">
        <v>494</v>
      </c>
      <c r="C14" s="94" t="s">
        <v>362</v>
      </c>
      <c r="D14" s="95">
        <v>8.5530000000000008</v>
      </c>
      <c r="E14" s="96">
        <v>2.7</v>
      </c>
      <c r="F14" s="97">
        <f>D14*E14</f>
        <v>23.093100000000003</v>
      </c>
      <c r="G14" s="97"/>
      <c r="H14" s="98">
        <f>D14</f>
        <v>8.5530000000000008</v>
      </c>
      <c r="I14" s="99">
        <f>D15</f>
        <v>6.5019999999999998</v>
      </c>
      <c r="J14" s="99">
        <f>D16</f>
        <v>6.94</v>
      </c>
      <c r="K14" s="99"/>
      <c r="L14" s="99"/>
      <c r="M14" s="99"/>
      <c r="N14" s="100"/>
      <c r="O14" s="100">
        <f>D17</f>
        <v>1.4000000000000001</v>
      </c>
      <c r="P14" s="99"/>
      <c r="Q14" s="99">
        <f>E14</f>
        <v>2.7</v>
      </c>
      <c r="R14" s="99">
        <f>E15</f>
        <v>3.2</v>
      </c>
      <c r="S14" s="99">
        <f>E16</f>
        <v>4.0999999999999996</v>
      </c>
      <c r="T14" s="99"/>
      <c r="U14" s="99"/>
      <c r="V14" s="99"/>
      <c r="W14" s="100"/>
      <c r="X14" s="100">
        <f>E17</f>
        <v>4.7</v>
      </c>
      <c r="Y14" s="99">
        <f>H14*Q14</f>
        <v>23.093100000000003</v>
      </c>
      <c r="Z14" s="99">
        <f>I14*R14</f>
        <v>20.8064</v>
      </c>
      <c r="AA14" s="99">
        <f>J14*S14</f>
        <v>28.454000000000001</v>
      </c>
      <c r="AB14" s="99"/>
      <c r="AC14" s="100">
        <f>O14*X14</f>
        <v>6.580000000000001</v>
      </c>
      <c r="AD14" s="99">
        <f>Y14+Z14+AA14+AC14</f>
        <v>78.933499999999995</v>
      </c>
      <c r="AE14" s="99">
        <f>AD14-AC14</f>
        <v>72.353499999999997</v>
      </c>
    </row>
    <row r="15" spans="1:31" x14ac:dyDescent="0.35">
      <c r="B15" s="101"/>
      <c r="C15" s="102" t="s">
        <v>16</v>
      </c>
      <c r="D15" s="98">
        <v>6.5019999999999998</v>
      </c>
      <c r="E15" s="99">
        <v>3.2</v>
      </c>
      <c r="F15" s="100">
        <f>D15*E15</f>
        <v>20.8064</v>
      </c>
      <c r="G15" s="103"/>
      <c r="H15" s="104"/>
      <c r="I15" s="104"/>
      <c r="J15" s="104"/>
      <c r="K15" s="104"/>
      <c r="L15" s="104"/>
      <c r="M15" s="104"/>
      <c r="N15" s="104"/>
      <c r="O15" s="104"/>
      <c r="P15" s="101"/>
      <c r="Q15" s="104"/>
      <c r="R15" s="104"/>
      <c r="S15" s="104"/>
      <c r="T15" s="104"/>
      <c r="U15" s="104"/>
      <c r="V15" s="104"/>
      <c r="W15" s="104"/>
      <c r="X15" s="104"/>
      <c r="Y15" s="101"/>
      <c r="Z15" s="104"/>
      <c r="AA15" s="104"/>
      <c r="AB15" s="104"/>
      <c r="AC15" s="104"/>
      <c r="AD15" s="101"/>
      <c r="AE15" s="105"/>
    </row>
    <row r="16" spans="1:31" x14ac:dyDescent="0.35">
      <c r="B16" s="106"/>
      <c r="C16" s="102" t="s">
        <v>12</v>
      </c>
      <c r="D16" s="98">
        <v>6.94</v>
      </c>
      <c r="E16" s="99">
        <v>4.0999999999999996</v>
      </c>
      <c r="F16" s="100">
        <f>D16*E16</f>
        <v>28.454000000000001</v>
      </c>
    </row>
    <row r="17" spans="1:31" x14ac:dyDescent="0.35">
      <c r="B17" s="106"/>
      <c r="C17" s="102" t="s">
        <v>13</v>
      </c>
      <c r="D17" s="98">
        <v>1.4000000000000001</v>
      </c>
      <c r="E17" s="99">
        <v>4.7</v>
      </c>
      <c r="F17" s="100">
        <f>D17*E17</f>
        <v>6.580000000000001</v>
      </c>
    </row>
    <row r="18" spans="1:31" x14ac:dyDescent="0.35">
      <c r="B18" s="106"/>
      <c r="C18" s="94" t="s">
        <v>491</v>
      </c>
      <c r="D18" s="95">
        <f>SUM(D14:D17)</f>
        <v>23.395</v>
      </c>
      <c r="E18" s="96"/>
      <c r="F18" s="97">
        <f>SUM(F14:F17)</f>
        <v>78.933499999999995</v>
      </c>
      <c r="I18" s="109"/>
      <c r="J18" s="109"/>
      <c r="K18" s="109"/>
      <c r="L18" s="109"/>
      <c r="M18" s="109"/>
      <c r="N18" s="109"/>
      <c r="O18" s="109"/>
      <c r="P18" s="107"/>
      <c r="Q18" s="109"/>
      <c r="R18" s="109"/>
      <c r="S18" s="109"/>
      <c r="T18" s="109"/>
      <c r="U18" s="109"/>
      <c r="V18" s="109"/>
      <c r="W18" s="109"/>
      <c r="X18" s="109"/>
      <c r="Y18" s="107"/>
      <c r="Z18" s="109"/>
      <c r="AA18" s="109"/>
      <c r="AB18" s="109"/>
      <c r="AC18" s="109"/>
      <c r="AD18" s="107"/>
      <c r="AE18" s="110"/>
    </row>
    <row r="19" spans="1:31" x14ac:dyDescent="0.35">
      <c r="B19" s="93"/>
      <c r="C19" s="102" t="s">
        <v>492</v>
      </c>
      <c r="D19" s="98">
        <f>D18-D17</f>
        <v>21.995000000000001</v>
      </c>
      <c r="E19" s="99"/>
      <c r="F19" s="100">
        <f>F18-F17</f>
        <v>72.353499999999997</v>
      </c>
      <c r="G19" s="97"/>
      <c r="H19" s="111"/>
      <c r="I19" s="111"/>
      <c r="J19" s="111"/>
      <c r="K19" s="111"/>
      <c r="L19" s="111"/>
      <c r="M19" s="111"/>
      <c r="N19" s="111"/>
      <c r="O19" s="111"/>
      <c r="P19" s="93"/>
      <c r="Q19" s="111"/>
      <c r="R19" s="111"/>
      <c r="S19" s="111"/>
      <c r="T19" s="111"/>
      <c r="U19" s="111"/>
      <c r="V19" s="111"/>
      <c r="W19" s="111"/>
      <c r="X19" s="111"/>
      <c r="Y19" s="93"/>
      <c r="Z19" s="111"/>
      <c r="AA19" s="111"/>
      <c r="AB19" s="111"/>
      <c r="AC19" s="111"/>
      <c r="AD19" s="93"/>
      <c r="AE19" s="112"/>
    </row>
    <row r="20" spans="1:31" x14ac:dyDescent="0.35">
      <c r="A20" s="22">
        <v>4</v>
      </c>
      <c r="B20" s="93" t="s">
        <v>495</v>
      </c>
      <c r="C20" s="94" t="s">
        <v>362</v>
      </c>
      <c r="D20" s="95">
        <v>14.464</v>
      </c>
      <c r="E20" s="96">
        <v>2.7</v>
      </c>
      <c r="F20" s="97">
        <f>D20*E20</f>
        <v>39.052800000000005</v>
      </c>
      <c r="G20" s="97"/>
      <c r="H20" s="98">
        <f>D20</f>
        <v>14.464</v>
      </c>
      <c r="I20" s="99">
        <f>D21</f>
        <v>10.362</v>
      </c>
      <c r="J20" s="99">
        <f>D22</f>
        <v>8.4039999999999999</v>
      </c>
      <c r="K20" s="99"/>
      <c r="L20" s="99"/>
      <c r="M20" s="99"/>
      <c r="N20" s="100"/>
      <c r="O20" s="100">
        <f>D23</f>
        <v>7.0650000000000004</v>
      </c>
      <c r="P20" s="99"/>
      <c r="Q20" s="99">
        <f>E20</f>
        <v>2.7</v>
      </c>
      <c r="R20" s="99">
        <f>E21</f>
        <v>3.15</v>
      </c>
      <c r="S20" s="99">
        <f>E22</f>
        <v>3.85</v>
      </c>
      <c r="T20" s="99"/>
      <c r="U20" s="99"/>
      <c r="V20" s="99"/>
      <c r="W20" s="100"/>
      <c r="X20" s="100">
        <f>E23</f>
        <v>4.7</v>
      </c>
      <c r="Y20" s="99">
        <f>H20*Q20</f>
        <v>39.052800000000005</v>
      </c>
      <c r="Z20" s="99">
        <f>I20*R20</f>
        <v>32.640299999999996</v>
      </c>
      <c r="AA20" s="99">
        <f>J20*S20</f>
        <v>32.355400000000003</v>
      </c>
      <c r="AB20" s="99"/>
      <c r="AC20" s="100">
        <f>O20*X20</f>
        <v>33.205500000000001</v>
      </c>
      <c r="AD20" s="99">
        <f>Y20+Z20+AA20+AC20</f>
        <v>137.25400000000002</v>
      </c>
      <c r="AE20" s="99">
        <f>AD20-AC20</f>
        <v>104.04850000000002</v>
      </c>
    </row>
    <row r="21" spans="1:31" x14ac:dyDescent="0.35">
      <c r="B21" s="101"/>
      <c r="C21" s="102" t="s">
        <v>16</v>
      </c>
      <c r="D21" s="98">
        <v>10.362</v>
      </c>
      <c r="E21" s="99">
        <v>3.15</v>
      </c>
      <c r="F21" s="100">
        <f>D21*E21</f>
        <v>32.640299999999996</v>
      </c>
      <c r="G21" s="103"/>
      <c r="H21" s="104"/>
      <c r="I21" s="104"/>
      <c r="J21" s="104"/>
      <c r="K21" s="104"/>
      <c r="L21" s="104"/>
      <c r="M21" s="104"/>
      <c r="N21" s="104"/>
      <c r="O21" s="104"/>
      <c r="P21" s="101"/>
      <c r="Q21" s="104"/>
      <c r="R21" s="104"/>
      <c r="S21" s="104"/>
      <c r="T21" s="104"/>
      <c r="U21" s="104"/>
      <c r="V21" s="104"/>
      <c r="W21" s="104"/>
      <c r="X21" s="104"/>
      <c r="Y21" s="101"/>
      <c r="Z21" s="104"/>
      <c r="AA21" s="104"/>
      <c r="AB21" s="104"/>
      <c r="AC21" s="104"/>
      <c r="AD21" s="101"/>
      <c r="AE21" s="105"/>
    </row>
    <row r="22" spans="1:31" x14ac:dyDescent="0.35">
      <c r="B22" s="106"/>
      <c r="C22" s="102" t="s">
        <v>12</v>
      </c>
      <c r="D22" s="98">
        <v>8.4039999999999999</v>
      </c>
      <c r="E22" s="99">
        <v>3.85</v>
      </c>
      <c r="F22" s="100">
        <f>D22*E22</f>
        <v>32.355400000000003</v>
      </c>
    </row>
    <row r="23" spans="1:31" x14ac:dyDescent="0.35">
      <c r="B23" s="106"/>
      <c r="C23" s="102" t="s">
        <v>13</v>
      </c>
      <c r="D23" s="98">
        <v>7.0650000000000004</v>
      </c>
      <c r="E23" s="99">
        <v>4.7</v>
      </c>
      <c r="F23" s="100">
        <f>D23*E23</f>
        <v>33.205500000000001</v>
      </c>
    </row>
    <row r="24" spans="1:31" x14ac:dyDescent="0.35">
      <c r="B24" s="106"/>
      <c r="C24" s="94" t="s">
        <v>491</v>
      </c>
      <c r="D24" s="95">
        <f>SUM(D20:D23)</f>
        <v>40.295000000000002</v>
      </c>
      <c r="E24" s="96"/>
      <c r="F24" s="97">
        <f>SUM(F20:F23)</f>
        <v>137.25400000000002</v>
      </c>
      <c r="I24" s="109"/>
      <c r="J24" s="109"/>
      <c r="K24" s="109"/>
      <c r="L24" s="109"/>
      <c r="M24" s="109"/>
      <c r="N24" s="109"/>
      <c r="O24" s="109"/>
      <c r="P24" s="107"/>
      <c r="Q24" s="109"/>
      <c r="R24" s="109"/>
      <c r="S24" s="109"/>
      <c r="T24" s="109"/>
      <c r="U24" s="109"/>
      <c r="V24" s="109"/>
      <c r="W24" s="109"/>
      <c r="X24" s="109"/>
      <c r="Y24" s="107"/>
      <c r="Z24" s="109"/>
      <c r="AA24" s="109"/>
      <c r="AB24" s="109"/>
      <c r="AC24" s="109"/>
      <c r="AD24" s="107"/>
      <c r="AE24" s="110"/>
    </row>
    <row r="25" spans="1:31" x14ac:dyDescent="0.35">
      <c r="B25" s="93"/>
      <c r="C25" s="102" t="s">
        <v>492</v>
      </c>
      <c r="D25" s="98">
        <f>D24-D23</f>
        <v>33.230000000000004</v>
      </c>
      <c r="E25" s="99"/>
      <c r="F25" s="100">
        <f>F24-F23</f>
        <v>104.04850000000002</v>
      </c>
      <c r="G25" s="97"/>
      <c r="H25" s="111"/>
      <c r="I25" s="111"/>
      <c r="J25" s="111"/>
      <c r="K25" s="111"/>
      <c r="L25" s="111"/>
      <c r="M25" s="111"/>
      <c r="N25" s="111"/>
      <c r="O25" s="111"/>
      <c r="P25" s="93"/>
      <c r="Q25" s="111"/>
      <c r="R25" s="111"/>
      <c r="S25" s="111"/>
      <c r="T25" s="111"/>
      <c r="U25" s="111"/>
      <c r="V25" s="111"/>
      <c r="W25" s="111"/>
      <c r="X25" s="111"/>
      <c r="Y25" s="93"/>
      <c r="Z25" s="111"/>
      <c r="AA25" s="111"/>
      <c r="AB25" s="111"/>
      <c r="AC25" s="111"/>
      <c r="AD25" s="93"/>
      <c r="AE25" s="112"/>
    </row>
    <row r="26" spans="1:31" x14ac:dyDescent="0.35">
      <c r="A26" s="22">
        <v>5</v>
      </c>
      <c r="B26" s="93" t="s">
        <v>496</v>
      </c>
      <c r="C26" s="94" t="s">
        <v>362</v>
      </c>
      <c r="D26" s="95">
        <v>14.247999999999999</v>
      </c>
      <c r="E26" s="96">
        <v>2.7</v>
      </c>
      <c r="F26" s="97">
        <f>D26*E26</f>
        <v>38.4696</v>
      </c>
      <c r="G26" s="97"/>
      <c r="H26" s="98">
        <f>D26</f>
        <v>14.247999999999999</v>
      </c>
      <c r="I26" s="99">
        <f>D27</f>
        <v>12.233000000000001</v>
      </c>
      <c r="J26" s="99">
        <f>D28</f>
        <v>8.7569999999999997</v>
      </c>
      <c r="K26" s="99"/>
      <c r="L26" s="99"/>
      <c r="M26" s="99"/>
      <c r="N26" s="100"/>
      <c r="O26" s="100">
        <f>D29</f>
        <v>11.723000000000001</v>
      </c>
      <c r="P26" s="99"/>
      <c r="Q26" s="99">
        <f>E26</f>
        <v>2.7</v>
      </c>
      <c r="R26" s="99">
        <f>E27</f>
        <v>3.15</v>
      </c>
      <c r="S26" s="99">
        <f>E28</f>
        <v>3.75</v>
      </c>
      <c r="T26" s="99"/>
      <c r="U26" s="99"/>
      <c r="V26" s="99"/>
      <c r="W26" s="100"/>
      <c r="X26" s="100">
        <f>E29</f>
        <v>4.7</v>
      </c>
      <c r="Y26" s="99">
        <f>H26*Q26</f>
        <v>38.4696</v>
      </c>
      <c r="Z26" s="99">
        <f>I26*R26</f>
        <v>38.533949999999997</v>
      </c>
      <c r="AA26" s="99">
        <f>J26*S26</f>
        <v>32.838749999999997</v>
      </c>
      <c r="AB26" s="99"/>
      <c r="AC26" s="100">
        <f>O26*X26</f>
        <v>55.098100000000002</v>
      </c>
      <c r="AD26" s="99">
        <f>Y26+Z26+AA26+AC26</f>
        <v>164.94040000000001</v>
      </c>
      <c r="AE26" s="99">
        <f>AD26-AC26</f>
        <v>109.84230000000001</v>
      </c>
    </row>
    <row r="27" spans="1:31" x14ac:dyDescent="0.35">
      <c r="B27" s="101"/>
      <c r="C27" s="102" t="s">
        <v>16</v>
      </c>
      <c r="D27" s="98">
        <v>12.233000000000001</v>
      </c>
      <c r="E27" s="99">
        <v>3.15</v>
      </c>
      <c r="F27" s="100">
        <f>D27*E27</f>
        <v>38.533949999999997</v>
      </c>
      <c r="G27" s="103"/>
      <c r="H27" s="104"/>
      <c r="I27" s="104"/>
      <c r="J27" s="104"/>
      <c r="K27" s="104"/>
      <c r="L27" s="104"/>
      <c r="M27" s="104"/>
      <c r="N27" s="104"/>
      <c r="O27" s="104"/>
      <c r="P27" s="101"/>
      <c r="Q27" s="104"/>
      <c r="R27" s="104"/>
      <c r="S27" s="104"/>
      <c r="T27" s="104"/>
      <c r="U27" s="104"/>
      <c r="V27" s="104"/>
      <c r="W27" s="104"/>
      <c r="X27" s="104"/>
      <c r="Y27" s="101"/>
      <c r="Z27" s="104"/>
      <c r="AA27" s="104"/>
      <c r="AB27" s="104"/>
      <c r="AC27" s="104"/>
      <c r="AD27" s="101"/>
      <c r="AE27" s="105"/>
    </row>
    <row r="28" spans="1:31" x14ac:dyDescent="0.35">
      <c r="B28" s="106"/>
      <c r="C28" s="102" t="s">
        <v>12</v>
      </c>
      <c r="D28" s="98">
        <v>8.7569999999999997</v>
      </c>
      <c r="E28" s="99">
        <v>3.75</v>
      </c>
      <c r="F28" s="100">
        <f>D28*E28</f>
        <v>32.838749999999997</v>
      </c>
    </row>
    <row r="29" spans="1:31" x14ac:dyDescent="0.35">
      <c r="B29" s="106"/>
      <c r="C29" s="102" t="s">
        <v>13</v>
      </c>
      <c r="D29" s="98">
        <v>11.723000000000001</v>
      </c>
      <c r="E29" s="99">
        <v>4.7</v>
      </c>
      <c r="F29" s="100">
        <f>D29*E29</f>
        <v>55.098100000000002</v>
      </c>
    </row>
    <row r="30" spans="1:31" x14ac:dyDescent="0.35">
      <c r="B30" s="106"/>
      <c r="C30" s="94" t="s">
        <v>491</v>
      </c>
      <c r="D30" s="95">
        <f>SUM(D26:D29)</f>
        <v>46.960999999999999</v>
      </c>
      <c r="E30" s="96"/>
      <c r="F30" s="97">
        <f>SUM(F26:F29)</f>
        <v>164.94040000000001</v>
      </c>
      <c r="I30" s="109"/>
      <c r="J30" s="109"/>
      <c r="K30" s="109"/>
      <c r="L30" s="109"/>
      <c r="M30" s="109"/>
      <c r="N30" s="109"/>
      <c r="O30" s="109"/>
      <c r="P30" s="107"/>
      <c r="Q30" s="109"/>
      <c r="R30" s="109"/>
      <c r="S30" s="109"/>
      <c r="T30" s="109"/>
      <c r="U30" s="109"/>
      <c r="V30" s="109"/>
      <c r="W30" s="109"/>
      <c r="X30" s="109"/>
      <c r="Y30" s="107"/>
      <c r="Z30" s="109"/>
      <c r="AA30" s="109"/>
      <c r="AB30" s="109"/>
      <c r="AC30" s="109"/>
      <c r="AD30" s="107"/>
      <c r="AE30" s="110"/>
    </row>
    <row r="31" spans="1:31" x14ac:dyDescent="0.35">
      <c r="B31" s="93"/>
      <c r="C31" s="102" t="s">
        <v>492</v>
      </c>
      <c r="D31" s="98">
        <f>D30-D29</f>
        <v>35.238</v>
      </c>
      <c r="E31" s="99"/>
      <c r="F31" s="100">
        <f>F30-F29</f>
        <v>109.84230000000001</v>
      </c>
      <c r="G31" s="97"/>
      <c r="H31" s="111"/>
      <c r="I31" s="111"/>
      <c r="J31" s="111"/>
      <c r="K31" s="111"/>
      <c r="L31" s="111"/>
      <c r="M31" s="111"/>
      <c r="N31" s="111"/>
      <c r="O31" s="111"/>
      <c r="P31" s="93"/>
      <c r="Q31" s="111"/>
      <c r="R31" s="111"/>
      <c r="S31" s="111"/>
      <c r="T31" s="111"/>
      <c r="U31" s="111"/>
      <c r="V31" s="111"/>
      <c r="W31" s="111"/>
      <c r="X31" s="111"/>
      <c r="Y31" s="93"/>
      <c r="Z31" s="111"/>
      <c r="AA31" s="111"/>
      <c r="AB31" s="111"/>
      <c r="AC31" s="111"/>
      <c r="AD31" s="93"/>
      <c r="AE31" s="112"/>
    </row>
    <row r="32" spans="1:31" x14ac:dyDescent="0.35">
      <c r="A32" s="22">
        <v>6</v>
      </c>
      <c r="B32" s="93" t="s">
        <v>497</v>
      </c>
      <c r="C32" s="94" t="s">
        <v>362</v>
      </c>
      <c r="D32" s="95">
        <v>17.637</v>
      </c>
      <c r="E32" s="96">
        <v>2.7</v>
      </c>
      <c r="F32" s="97">
        <f>D32*E32</f>
        <v>47.619900000000001</v>
      </c>
      <c r="G32" s="97"/>
      <c r="H32" s="98">
        <f>D32</f>
        <v>17.637</v>
      </c>
      <c r="I32" s="99">
        <f>D33</f>
        <v>15.961</v>
      </c>
      <c r="J32" s="99">
        <f>D34</f>
        <v>7.98</v>
      </c>
      <c r="K32" s="99"/>
      <c r="L32" s="99"/>
      <c r="M32" s="99"/>
      <c r="N32" s="100"/>
      <c r="O32" s="100">
        <f>D35</f>
        <v>8.3949999999999996</v>
      </c>
      <c r="P32" s="99"/>
      <c r="Q32" s="99">
        <f>E32</f>
        <v>2.7</v>
      </c>
      <c r="R32" s="99">
        <f>E33</f>
        <v>3.2</v>
      </c>
      <c r="S32" s="99">
        <f>E34</f>
        <v>4</v>
      </c>
      <c r="T32" s="99"/>
      <c r="U32" s="99"/>
      <c r="V32" s="99"/>
      <c r="W32" s="100"/>
      <c r="X32" s="100">
        <f>E35</f>
        <v>4.7</v>
      </c>
      <c r="Y32" s="99">
        <f>H32*Q32</f>
        <v>47.619900000000001</v>
      </c>
      <c r="Z32" s="99">
        <f>I32*R32</f>
        <v>51.075200000000002</v>
      </c>
      <c r="AA32" s="99">
        <f>J32*S32</f>
        <v>31.92</v>
      </c>
      <c r="AB32" s="99"/>
      <c r="AC32" s="100">
        <f>O32*X32</f>
        <v>39.456499999999998</v>
      </c>
      <c r="AD32" s="99">
        <f>Y32+Z32+AA32+AC32</f>
        <v>170.07159999999999</v>
      </c>
      <c r="AE32" s="99">
        <f>AD32-AC32</f>
        <v>130.61509999999998</v>
      </c>
    </row>
    <row r="33" spans="1:31" x14ac:dyDescent="0.35">
      <c r="B33" s="101"/>
      <c r="C33" s="102" t="s">
        <v>16</v>
      </c>
      <c r="D33" s="98">
        <v>15.961</v>
      </c>
      <c r="E33" s="99">
        <v>3.2</v>
      </c>
      <c r="F33" s="100">
        <f>D33*E33</f>
        <v>51.075200000000002</v>
      </c>
      <c r="G33" s="103"/>
      <c r="H33" s="104"/>
      <c r="I33" s="104"/>
      <c r="J33" s="104"/>
      <c r="K33" s="104"/>
      <c r="L33" s="104"/>
      <c r="M33" s="104"/>
      <c r="N33" s="104"/>
      <c r="O33" s="104"/>
      <c r="P33" s="101"/>
      <c r="Q33" s="104"/>
      <c r="R33" s="104"/>
      <c r="S33" s="104"/>
      <c r="T33" s="104"/>
      <c r="U33" s="104"/>
      <c r="V33" s="104"/>
      <c r="W33" s="104"/>
      <c r="X33" s="104"/>
      <c r="Y33" s="101"/>
      <c r="Z33" s="104"/>
      <c r="AA33" s="104"/>
      <c r="AB33" s="104"/>
      <c r="AC33" s="104"/>
      <c r="AD33" s="101"/>
      <c r="AE33" s="105"/>
    </row>
    <row r="34" spans="1:31" x14ac:dyDescent="0.35">
      <c r="B34" s="106"/>
      <c r="C34" s="102" t="s">
        <v>12</v>
      </c>
      <c r="D34" s="98">
        <v>7.98</v>
      </c>
      <c r="E34" s="99">
        <v>4</v>
      </c>
      <c r="F34" s="100">
        <f>D34*E34</f>
        <v>31.92</v>
      </c>
    </row>
    <row r="35" spans="1:31" x14ac:dyDescent="0.35">
      <c r="B35" s="106"/>
      <c r="C35" s="102" t="s">
        <v>13</v>
      </c>
      <c r="D35" s="98">
        <v>8.3949999999999996</v>
      </c>
      <c r="E35" s="99">
        <v>4.7</v>
      </c>
      <c r="F35" s="100">
        <f>D35*E35</f>
        <v>39.456499999999998</v>
      </c>
    </row>
    <row r="36" spans="1:31" x14ac:dyDescent="0.35">
      <c r="B36" s="106"/>
      <c r="C36" s="94" t="s">
        <v>491</v>
      </c>
      <c r="D36" s="95">
        <f>SUM(D32:D35)</f>
        <v>49.972999999999999</v>
      </c>
      <c r="E36" s="96"/>
      <c r="F36" s="97">
        <f>SUM(F32:F35)</f>
        <v>170.07159999999999</v>
      </c>
      <c r="I36" s="109"/>
      <c r="J36" s="109"/>
      <c r="K36" s="109"/>
      <c r="L36" s="109"/>
      <c r="M36" s="109"/>
      <c r="N36" s="109"/>
      <c r="O36" s="109"/>
      <c r="P36" s="107"/>
      <c r="Q36" s="109"/>
      <c r="R36" s="109"/>
      <c r="S36" s="109"/>
      <c r="T36" s="109"/>
      <c r="U36" s="109"/>
      <c r="V36" s="109"/>
      <c r="W36" s="109"/>
      <c r="X36" s="109"/>
      <c r="Y36" s="107"/>
      <c r="Z36" s="109"/>
      <c r="AA36" s="109"/>
      <c r="AB36" s="109"/>
      <c r="AC36" s="109"/>
      <c r="AD36" s="107"/>
      <c r="AE36" s="110"/>
    </row>
    <row r="37" spans="1:31" x14ac:dyDescent="0.35">
      <c r="B37" s="93"/>
      <c r="C37" s="102" t="s">
        <v>492</v>
      </c>
      <c r="D37" s="98">
        <f>D36-D35</f>
        <v>41.578000000000003</v>
      </c>
      <c r="E37" s="99"/>
      <c r="F37" s="100">
        <f>F36-F35</f>
        <v>130.61509999999998</v>
      </c>
      <c r="G37" s="97"/>
      <c r="H37" s="111"/>
      <c r="I37" s="111"/>
      <c r="J37" s="111"/>
      <c r="K37" s="111"/>
      <c r="L37" s="111"/>
      <c r="M37" s="111"/>
      <c r="N37" s="111"/>
      <c r="O37" s="111"/>
      <c r="P37" s="93"/>
      <c r="Q37" s="111"/>
      <c r="R37" s="111"/>
      <c r="S37" s="111"/>
      <c r="T37" s="111"/>
      <c r="U37" s="111"/>
      <c r="V37" s="111"/>
      <c r="W37" s="111"/>
      <c r="X37" s="111"/>
      <c r="Y37" s="93"/>
      <c r="Z37" s="111"/>
      <c r="AA37" s="111"/>
      <c r="AB37" s="111"/>
      <c r="AC37" s="111"/>
      <c r="AD37" s="93"/>
      <c r="AE37" s="112"/>
    </row>
    <row r="38" spans="1:31" x14ac:dyDescent="0.35">
      <c r="A38" s="22">
        <v>7</v>
      </c>
      <c r="B38" s="93" t="s">
        <v>498</v>
      </c>
      <c r="C38" s="94" t="s">
        <v>362</v>
      </c>
      <c r="D38" s="95">
        <v>17.637</v>
      </c>
      <c r="E38" s="96">
        <v>2.7</v>
      </c>
      <c r="F38" s="97">
        <f>D38*E38</f>
        <v>47.619900000000001</v>
      </c>
      <c r="G38" s="97"/>
      <c r="H38" s="98">
        <f>D38</f>
        <v>17.637</v>
      </c>
      <c r="I38" s="99">
        <f>D39</f>
        <v>15.961</v>
      </c>
      <c r="J38" s="99">
        <f>D40</f>
        <v>8.7569999999999997</v>
      </c>
      <c r="K38" s="99"/>
      <c r="L38" s="99"/>
      <c r="M38" s="99"/>
      <c r="N38" s="100"/>
      <c r="O38" s="100">
        <f>D41</f>
        <v>11.723000000000001</v>
      </c>
      <c r="P38" s="99"/>
      <c r="Q38" s="99">
        <f>E38</f>
        <v>2.7</v>
      </c>
      <c r="R38" s="99">
        <f>E39</f>
        <v>3.2</v>
      </c>
      <c r="S38" s="99">
        <f>E40</f>
        <v>4</v>
      </c>
      <c r="T38" s="99"/>
      <c r="U38" s="99"/>
      <c r="V38" s="99"/>
      <c r="W38" s="100"/>
      <c r="X38" s="100">
        <f>E41</f>
        <v>4.7</v>
      </c>
      <c r="Y38" s="99">
        <f>H38*Q38</f>
        <v>47.619900000000001</v>
      </c>
      <c r="Z38" s="99">
        <f>I38*R38</f>
        <v>51.075200000000002</v>
      </c>
      <c r="AA38" s="99">
        <f>J38*S38</f>
        <v>35.027999999999999</v>
      </c>
      <c r="AB38" s="99"/>
      <c r="AC38" s="100">
        <f>O38*X38</f>
        <v>55.098100000000002</v>
      </c>
      <c r="AD38" s="99">
        <f>Y38+Z38+AA38+AC38</f>
        <v>188.82119999999998</v>
      </c>
      <c r="AE38" s="99">
        <f>AD38-AC38</f>
        <v>133.72309999999999</v>
      </c>
    </row>
    <row r="39" spans="1:31" x14ac:dyDescent="0.35">
      <c r="B39" s="101"/>
      <c r="C39" s="102" t="s">
        <v>16</v>
      </c>
      <c r="D39" s="98">
        <v>15.961</v>
      </c>
      <c r="E39" s="99">
        <v>3.2</v>
      </c>
      <c r="F39" s="100">
        <f>D39*E39</f>
        <v>51.075200000000002</v>
      </c>
      <c r="G39" s="103"/>
      <c r="H39" s="104"/>
      <c r="I39" s="104"/>
      <c r="J39" s="104"/>
      <c r="K39" s="104"/>
      <c r="L39" s="104"/>
      <c r="M39" s="104"/>
      <c r="N39" s="104"/>
      <c r="O39" s="104"/>
      <c r="P39" s="101"/>
      <c r="Q39" s="104"/>
      <c r="R39" s="104"/>
      <c r="S39" s="104"/>
      <c r="T39" s="104"/>
      <c r="U39" s="104"/>
      <c r="V39" s="104"/>
      <c r="W39" s="104"/>
      <c r="X39" s="104"/>
      <c r="Y39" s="101"/>
      <c r="Z39" s="104"/>
      <c r="AA39" s="104"/>
      <c r="AB39" s="104"/>
      <c r="AC39" s="104"/>
      <c r="AD39" s="101"/>
      <c r="AE39" s="105"/>
    </row>
    <row r="40" spans="1:31" x14ac:dyDescent="0.35">
      <c r="B40" s="106"/>
      <c r="C40" s="102" t="s">
        <v>12</v>
      </c>
      <c r="D40" s="98">
        <v>8.7569999999999997</v>
      </c>
      <c r="E40" s="99">
        <v>4</v>
      </c>
      <c r="F40" s="100">
        <f>D40*E40</f>
        <v>35.027999999999999</v>
      </c>
    </row>
    <row r="41" spans="1:31" x14ac:dyDescent="0.35">
      <c r="B41" s="106"/>
      <c r="C41" s="102" t="s">
        <v>13</v>
      </c>
      <c r="D41" s="98">
        <v>11.723000000000001</v>
      </c>
      <c r="E41" s="99">
        <v>4.7</v>
      </c>
      <c r="F41" s="100">
        <f>D41*E41</f>
        <v>55.098100000000002</v>
      </c>
    </row>
    <row r="42" spans="1:31" x14ac:dyDescent="0.35">
      <c r="B42" s="106"/>
      <c r="C42" s="94" t="s">
        <v>491</v>
      </c>
      <c r="D42" s="95">
        <f>SUM(D38:D41)</f>
        <v>54.077999999999996</v>
      </c>
      <c r="E42" s="96"/>
      <c r="F42" s="97">
        <f>SUM(F38:F41)</f>
        <v>188.82119999999998</v>
      </c>
      <c r="I42" s="109"/>
      <c r="J42" s="109"/>
      <c r="K42" s="109"/>
      <c r="L42" s="109"/>
      <c r="M42" s="109"/>
      <c r="N42" s="109"/>
      <c r="O42" s="109"/>
      <c r="P42" s="107"/>
      <c r="Q42" s="109"/>
      <c r="R42" s="109"/>
      <c r="S42" s="109"/>
      <c r="T42" s="109"/>
      <c r="U42" s="109"/>
      <c r="V42" s="109"/>
      <c r="W42" s="109"/>
      <c r="X42" s="109"/>
      <c r="Y42" s="107"/>
      <c r="Z42" s="109"/>
      <c r="AA42" s="109"/>
      <c r="AB42" s="109"/>
      <c r="AC42" s="109"/>
      <c r="AD42" s="107"/>
      <c r="AE42" s="110"/>
    </row>
    <row r="43" spans="1:31" x14ac:dyDescent="0.35">
      <c r="B43" s="93"/>
      <c r="C43" s="102" t="s">
        <v>492</v>
      </c>
      <c r="D43" s="98">
        <f>D42-D41</f>
        <v>42.354999999999997</v>
      </c>
      <c r="E43" s="99"/>
      <c r="F43" s="100">
        <f>F42-F41</f>
        <v>133.72309999999999</v>
      </c>
      <c r="G43" s="97"/>
      <c r="H43" s="111"/>
      <c r="I43" s="111"/>
      <c r="J43" s="111"/>
      <c r="K43" s="111"/>
      <c r="L43" s="111"/>
      <c r="M43" s="111"/>
      <c r="N43" s="111"/>
      <c r="O43" s="111"/>
      <c r="P43" s="93"/>
      <c r="Q43" s="111"/>
      <c r="R43" s="111"/>
      <c r="S43" s="111"/>
      <c r="T43" s="111"/>
      <c r="U43" s="111"/>
      <c r="V43" s="111"/>
      <c r="W43" s="111"/>
      <c r="X43" s="111"/>
      <c r="Y43" s="93"/>
      <c r="Z43" s="111"/>
      <c r="AA43" s="111"/>
      <c r="AB43" s="111"/>
      <c r="AC43" s="111"/>
      <c r="AD43" s="93"/>
      <c r="AE43" s="112"/>
    </row>
    <row r="44" spans="1:31" x14ac:dyDescent="0.35">
      <c r="A44" s="22">
        <v>8</v>
      </c>
      <c r="B44" s="93" t="s">
        <v>499</v>
      </c>
      <c r="C44" s="94" t="s">
        <v>362</v>
      </c>
      <c r="D44" s="95">
        <v>24</v>
      </c>
      <c r="E44" s="96">
        <v>2.7</v>
      </c>
      <c r="F44" s="97">
        <f>D44*E44</f>
        <v>64.800000000000011</v>
      </c>
      <c r="G44" s="97"/>
      <c r="H44" s="98">
        <f>D44</f>
        <v>24</v>
      </c>
      <c r="I44" s="99">
        <f>D45</f>
        <v>17.126000000000001</v>
      </c>
      <c r="J44" s="99">
        <f>D46</f>
        <v>13.066000000000001</v>
      </c>
      <c r="K44" s="99"/>
      <c r="L44" s="99"/>
      <c r="M44" s="99"/>
      <c r="N44" s="100"/>
      <c r="O44" s="100">
        <f>D47</f>
        <v>11.723000000000001</v>
      </c>
      <c r="P44" s="99"/>
      <c r="Q44" s="99">
        <f>E44</f>
        <v>2.7</v>
      </c>
      <c r="R44" s="99">
        <f>E45</f>
        <v>3.2</v>
      </c>
      <c r="S44" s="99">
        <f>E46</f>
        <v>3.9</v>
      </c>
      <c r="T44" s="99"/>
      <c r="U44" s="99"/>
      <c r="V44" s="99"/>
      <c r="W44" s="100"/>
      <c r="X44" s="100">
        <f>E47</f>
        <v>4.7</v>
      </c>
      <c r="Y44" s="99">
        <f>H44*Q44</f>
        <v>64.800000000000011</v>
      </c>
      <c r="Z44" s="99">
        <f>I44*R44</f>
        <v>54.803200000000004</v>
      </c>
      <c r="AA44" s="99">
        <f>J44*S44</f>
        <v>50.9574</v>
      </c>
      <c r="AB44" s="99"/>
      <c r="AC44" s="100">
        <f>O44*X44</f>
        <v>55.098100000000002</v>
      </c>
      <c r="AD44" s="99">
        <f>Y44+Z44+AA44+AC44</f>
        <v>225.65870000000001</v>
      </c>
      <c r="AE44" s="99">
        <f>AD44-AC44</f>
        <v>170.56060000000002</v>
      </c>
    </row>
    <row r="45" spans="1:31" x14ac:dyDescent="0.35">
      <c r="B45" s="101"/>
      <c r="C45" s="102" t="s">
        <v>16</v>
      </c>
      <c r="D45" s="98">
        <v>17.126000000000001</v>
      </c>
      <c r="E45" s="99">
        <v>3.2</v>
      </c>
      <c r="F45" s="100">
        <f>D45*E45</f>
        <v>54.803200000000004</v>
      </c>
      <c r="G45" s="103"/>
      <c r="H45" s="104"/>
      <c r="I45" s="104"/>
      <c r="J45" s="104"/>
      <c r="K45" s="104"/>
      <c r="L45" s="104"/>
      <c r="M45" s="104"/>
      <c r="N45" s="104"/>
      <c r="O45" s="104"/>
      <c r="P45" s="101"/>
      <c r="Q45" s="104"/>
      <c r="R45" s="104"/>
      <c r="S45" s="104"/>
      <c r="T45" s="104"/>
      <c r="U45" s="104"/>
      <c r="V45" s="104"/>
      <c r="W45" s="104"/>
      <c r="X45" s="104"/>
      <c r="Y45" s="101"/>
      <c r="Z45" s="104"/>
      <c r="AA45" s="104"/>
      <c r="AB45" s="104"/>
      <c r="AC45" s="104"/>
      <c r="AD45" s="101"/>
      <c r="AE45" s="105"/>
    </row>
    <row r="46" spans="1:31" x14ac:dyDescent="0.35">
      <c r="B46" s="106"/>
      <c r="C46" s="102" t="s">
        <v>12</v>
      </c>
      <c r="D46" s="98">
        <v>13.066000000000001</v>
      </c>
      <c r="E46" s="99">
        <v>3.9</v>
      </c>
      <c r="F46" s="100">
        <f>D46*E46</f>
        <v>50.9574</v>
      </c>
    </row>
    <row r="47" spans="1:31" x14ac:dyDescent="0.35">
      <c r="B47" s="106"/>
      <c r="C47" s="102" t="s">
        <v>13</v>
      </c>
      <c r="D47" s="98">
        <v>11.723000000000001</v>
      </c>
      <c r="E47" s="99">
        <v>4.7</v>
      </c>
      <c r="F47" s="100">
        <f>D47*E47</f>
        <v>55.098100000000002</v>
      </c>
    </row>
    <row r="48" spans="1:31" x14ac:dyDescent="0.35">
      <c r="B48" s="106"/>
      <c r="C48" s="94" t="s">
        <v>491</v>
      </c>
      <c r="D48" s="95">
        <f>SUM(D44:D47)</f>
        <v>65.915000000000006</v>
      </c>
      <c r="E48" s="96"/>
      <c r="F48" s="97">
        <f>SUM(F44:F47)</f>
        <v>225.65870000000001</v>
      </c>
      <c r="I48" s="109"/>
      <c r="J48" s="109"/>
      <c r="K48" s="109"/>
      <c r="L48" s="109"/>
      <c r="M48" s="109"/>
      <c r="N48" s="109"/>
      <c r="O48" s="109"/>
      <c r="P48" s="107"/>
      <c r="Q48" s="109"/>
      <c r="R48" s="109"/>
      <c r="S48" s="109"/>
      <c r="T48" s="109"/>
      <c r="U48" s="109"/>
      <c r="V48" s="109"/>
      <c r="W48" s="109"/>
      <c r="X48" s="109"/>
      <c r="Y48" s="107"/>
      <c r="Z48" s="109"/>
      <c r="AA48" s="109"/>
      <c r="AB48" s="109"/>
      <c r="AC48" s="109"/>
      <c r="AD48" s="107"/>
      <c r="AE48" s="110"/>
    </row>
    <row r="49" spans="1:31" x14ac:dyDescent="0.35">
      <c r="B49" s="93"/>
      <c r="C49" s="102" t="s">
        <v>492</v>
      </c>
      <c r="D49" s="98">
        <f>D48-D47</f>
        <v>54.192000000000007</v>
      </c>
      <c r="E49" s="99"/>
      <c r="F49" s="100">
        <f>F48-F47</f>
        <v>170.56060000000002</v>
      </c>
      <c r="G49" s="97"/>
      <c r="H49" s="111"/>
      <c r="I49" s="111"/>
      <c r="J49" s="111"/>
      <c r="K49" s="111"/>
      <c r="L49" s="111"/>
      <c r="M49" s="111"/>
      <c r="N49" s="111"/>
      <c r="O49" s="111"/>
      <c r="P49" s="93"/>
      <c r="Q49" s="111"/>
      <c r="R49" s="111"/>
      <c r="S49" s="111"/>
      <c r="T49" s="111"/>
      <c r="U49" s="111"/>
      <c r="V49" s="111"/>
      <c r="W49" s="111"/>
      <c r="X49" s="111"/>
      <c r="Y49" s="93"/>
      <c r="Z49" s="111"/>
      <c r="AA49" s="111"/>
      <c r="AB49" s="111"/>
      <c r="AC49" s="111"/>
      <c r="AD49" s="93"/>
      <c r="AE49" s="112"/>
    </row>
    <row r="50" spans="1:31" x14ac:dyDescent="0.35">
      <c r="A50" s="22">
        <v>9</v>
      </c>
      <c r="B50" s="93" t="s">
        <v>500</v>
      </c>
      <c r="C50" s="94" t="s">
        <v>362</v>
      </c>
      <c r="D50" s="95">
        <v>24</v>
      </c>
      <c r="E50" s="96">
        <v>2.7</v>
      </c>
      <c r="F50" s="97">
        <f>D50*E50</f>
        <v>64.800000000000011</v>
      </c>
      <c r="G50" s="97"/>
      <c r="H50" s="98">
        <f>D50</f>
        <v>24</v>
      </c>
      <c r="I50" s="99">
        <f>D51</f>
        <v>16.605</v>
      </c>
      <c r="J50" s="99">
        <f>D52</f>
        <v>12.305999999999999</v>
      </c>
      <c r="K50" s="99"/>
      <c r="L50" s="99"/>
      <c r="M50" s="99"/>
      <c r="N50" s="100"/>
      <c r="O50" s="100">
        <f>D53</f>
        <v>13.724</v>
      </c>
      <c r="P50" s="99"/>
      <c r="Q50" s="99">
        <f>E50</f>
        <v>2.7</v>
      </c>
      <c r="R50" s="99">
        <f>E51</f>
        <v>3.15</v>
      </c>
      <c r="S50" s="99">
        <f>E52</f>
        <v>3.85</v>
      </c>
      <c r="T50" s="99"/>
      <c r="U50" s="99"/>
      <c r="V50" s="99"/>
      <c r="W50" s="100"/>
      <c r="X50" s="100">
        <f>E53</f>
        <v>4.6000000000000005</v>
      </c>
      <c r="Y50" s="99">
        <f>H50*Q50</f>
        <v>64.800000000000011</v>
      </c>
      <c r="Z50" s="99">
        <f>I50*R50</f>
        <v>52.305750000000003</v>
      </c>
      <c r="AA50" s="99">
        <f>J50*S50</f>
        <v>47.378099999999996</v>
      </c>
      <c r="AB50" s="99"/>
      <c r="AC50" s="100">
        <f>O50*X50</f>
        <v>63.130400000000009</v>
      </c>
      <c r="AD50" s="99">
        <f>Y50+Z50+AA50+AC50</f>
        <v>227.61425000000003</v>
      </c>
      <c r="AE50" s="99">
        <f>AD50-AC50</f>
        <v>164.48385000000002</v>
      </c>
    </row>
    <row r="51" spans="1:31" x14ac:dyDescent="0.35">
      <c r="B51" s="101"/>
      <c r="C51" s="102" t="s">
        <v>16</v>
      </c>
      <c r="D51" s="98">
        <v>16.605</v>
      </c>
      <c r="E51" s="99">
        <v>3.15</v>
      </c>
      <c r="F51" s="100">
        <f>D51*E51</f>
        <v>52.305750000000003</v>
      </c>
      <c r="G51" s="103"/>
      <c r="H51" s="104"/>
      <c r="I51" s="104"/>
      <c r="J51" s="104"/>
      <c r="K51" s="104"/>
      <c r="L51" s="104"/>
      <c r="M51" s="104"/>
      <c r="N51" s="104"/>
      <c r="O51" s="104"/>
      <c r="P51" s="101"/>
      <c r="Q51" s="104"/>
      <c r="R51" s="104"/>
      <c r="S51" s="104"/>
      <c r="T51" s="104"/>
      <c r="U51" s="104"/>
      <c r="V51" s="104"/>
      <c r="W51" s="104"/>
      <c r="X51" s="104"/>
      <c r="Y51" s="101"/>
      <c r="Z51" s="104"/>
      <c r="AA51" s="104"/>
      <c r="AB51" s="104"/>
      <c r="AC51" s="104"/>
      <c r="AD51" s="101"/>
      <c r="AE51" s="105"/>
    </row>
    <row r="52" spans="1:31" x14ac:dyDescent="0.35">
      <c r="B52" s="106"/>
      <c r="C52" s="102" t="s">
        <v>12</v>
      </c>
      <c r="D52" s="98">
        <v>12.305999999999999</v>
      </c>
      <c r="E52" s="99">
        <v>3.85</v>
      </c>
      <c r="F52" s="100">
        <f>D52*E52</f>
        <v>47.378099999999996</v>
      </c>
    </row>
    <row r="53" spans="1:31" x14ac:dyDescent="0.35">
      <c r="B53" s="106"/>
      <c r="C53" s="102" t="s">
        <v>13</v>
      </c>
      <c r="D53" s="98">
        <v>13.724</v>
      </c>
      <c r="E53" s="99">
        <v>4.6000000000000005</v>
      </c>
      <c r="F53" s="100">
        <f>D53*E53</f>
        <v>63.130400000000009</v>
      </c>
    </row>
    <row r="54" spans="1:31" x14ac:dyDescent="0.35">
      <c r="B54" s="106"/>
      <c r="C54" s="94" t="s">
        <v>491</v>
      </c>
      <c r="D54" s="95">
        <f>SUM(D50:D53)</f>
        <v>66.635000000000005</v>
      </c>
      <c r="E54" s="96"/>
      <c r="F54" s="97">
        <f>SUM(F50:F53)</f>
        <v>227.61425000000003</v>
      </c>
      <c r="I54" s="109"/>
      <c r="J54" s="109"/>
      <c r="K54" s="109"/>
      <c r="L54" s="109"/>
      <c r="M54" s="109"/>
      <c r="N54" s="109"/>
      <c r="O54" s="109"/>
      <c r="P54" s="107"/>
      <c r="Q54" s="109"/>
      <c r="R54" s="109"/>
      <c r="S54" s="109"/>
      <c r="T54" s="109"/>
      <c r="U54" s="109"/>
      <c r="V54" s="109"/>
      <c r="W54" s="109"/>
      <c r="X54" s="109"/>
      <c r="Y54" s="107"/>
      <c r="Z54" s="109"/>
      <c r="AA54" s="109"/>
      <c r="AB54" s="109"/>
      <c r="AC54" s="109"/>
      <c r="AD54" s="107"/>
      <c r="AE54" s="110"/>
    </row>
    <row r="55" spans="1:31" x14ac:dyDescent="0.35">
      <c r="B55" s="93"/>
      <c r="C55" s="102" t="s">
        <v>492</v>
      </c>
      <c r="D55" s="98">
        <f>D54-D53</f>
        <v>52.911000000000001</v>
      </c>
      <c r="E55" s="99"/>
      <c r="F55" s="100">
        <f>F54-F53</f>
        <v>164.48385000000002</v>
      </c>
      <c r="G55" s="97"/>
      <c r="H55" s="111"/>
      <c r="I55" s="111"/>
      <c r="J55" s="111"/>
      <c r="K55" s="111"/>
      <c r="L55" s="111"/>
      <c r="M55" s="111"/>
      <c r="N55" s="111"/>
      <c r="O55" s="111"/>
      <c r="P55" s="93"/>
      <c r="Q55" s="111"/>
      <c r="R55" s="111"/>
      <c r="S55" s="111"/>
      <c r="T55" s="111"/>
      <c r="U55" s="111"/>
      <c r="V55" s="111"/>
      <c r="W55" s="111"/>
      <c r="X55" s="111"/>
      <c r="Y55" s="93"/>
      <c r="Z55" s="111"/>
      <c r="AA55" s="111"/>
      <c r="AB55" s="111"/>
      <c r="AC55" s="111"/>
      <c r="AD55" s="93"/>
      <c r="AE55" s="112"/>
    </row>
    <row r="56" spans="1:31" x14ac:dyDescent="0.35">
      <c r="A56" s="22">
        <v>10</v>
      </c>
      <c r="B56" s="93" t="s">
        <v>501</v>
      </c>
      <c r="C56" s="94" t="s">
        <v>362</v>
      </c>
      <c r="D56" s="95">
        <v>24</v>
      </c>
      <c r="E56" s="96">
        <v>2.7</v>
      </c>
      <c r="F56" s="97">
        <f>D56*E56</f>
        <v>64.800000000000011</v>
      </c>
      <c r="G56" s="97"/>
      <c r="H56" s="98">
        <f>D56</f>
        <v>24</v>
      </c>
      <c r="I56" s="99">
        <f>D57</f>
        <v>25.794</v>
      </c>
      <c r="J56" s="99">
        <f>D58</f>
        <v>15</v>
      </c>
      <c r="K56" s="99"/>
      <c r="L56" s="99"/>
      <c r="M56" s="99"/>
      <c r="N56" s="100"/>
      <c r="O56" s="100">
        <f>D59</f>
        <v>13.722</v>
      </c>
      <c r="P56" s="99"/>
      <c r="Q56" s="99">
        <f>E56</f>
        <v>2.7</v>
      </c>
      <c r="R56" s="99">
        <f>E57</f>
        <v>3.15</v>
      </c>
      <c r="S56" s="99">
        <f>E58</f>
        <v>3.85</v>
      </c>
      <c r="T56" s="99"/>
      <c r="U56" s="99"/>
      <c r="V56" s="99"/>
      <c r="W56" s="100"/>
      <c r="X56" s="100">
        <f>E59</f>
        <v>4.7</v>
      </c>
      <c r="Y56" s="99">
        <f>H56*Q56</f>
        <v>64.800000000000011</v>
      </c>
      <c r="Z56" s="99">
        <f>I56*R56</f>
        <v>81.251099999999994</v>
      </c>
      <c r="AA56" s="99">
        <f>J56*S56</f>
        <v>57.75</v>
      </c>
      <c r="AB56" s="99"/>
      <c r="AC56" s="100">
        <f>O56*X56</f>
        <v>64.493399999999994</v>
      </c>
      <c r="AD56" s="99">
        <f>Y56+Z56+AA56+AC56</f>
        <v>268.29450000000003</v>
      </c>
      <c r="AE56" s="99">
        <f>AD56-AC56</f>
        <v>203.80110000000002</v>
      </c>
    </row>
    <row r="57" spans="1:31" x14ac:dyDescent="0.35">
      <c r="B57" s="101"/>
      <c r="C57" s="102" t="s">
        <v>16</v>
      </c>
      <c r="D57" s="98">
        <v>25.794</v>
      </c>
      <c r="E57" s="99">
        <v>3.15</v>
      </c>
      <c r="F57" s="100">
        <f>D57*E57</f>
        <v>81.251099999999994</v>
      </c>
      <c r="G57" s="103"/>
      <c r="H57" s="104"/>
      <c r="I57" s="104"/>
      <c r="J57" s="104"/>
      <c r="K57" s="104"/>
      <c r="L57" s="104"/>
      <c r="M57" s="104"/>
      <c r="N57" s="104"/>
      <c r="O57" s="104"/>
      <c r="P57" s="101"/>
      <c r="Q57" s="104"/>
      <c r="R57" s="104"/>
      <c r="S57" s="104"/>
      <c r="T57" s="104"/>
      <c r="U57" s="104"/>
      <c r="V57" s="104"/>
      <c r="W57" s="104"/>
      <c r="X57" s="104"/>
      <c r="Y57" s="101"/>
      <c r="Z57" s="104"/>
      <c r="AA57" s="104"/>
      <c r="AB57" s="104"/>
      <c r="AC57" s="104"/>
      <c r="AD57" s="101"/>
      <c r="AE57" s="105"/>
    </row>
    <row r="58" spans="1:31" x14ac:dyDescent="0.35">
      <c r="B58" s="106"/>
      <c r="C58" s="102" t="s">
        <v>12</v>
      </c>
      <c r="D58" s="98">
        <v>15</v>
      </c>
      <c r="E58" s="99">
        <v>3.85</v>
      </c>
      <c r="F58" s="100">
        <f>D58*E58</f>
        <v>57.75</v>
      </c>
    </row>
    <row r="59" spans="1:31" x14ac:dyDescent="0.35">
      <c r="B59" s="106"/>
      <c r="C59" s="102" t="s">
        <v>13</v>
      </c>
      <c r="D59" s="98">
        <v>13.722</v>
      </c>
      <c r="E59" s="99">
        <v>4.7</v>
      </c>
      <c r="F59" s="100">
        <f>D59*E59</f>
        <v>64.493399999999994</v>
      </c>
    </row>
    <row r="60" spans="1:31" x14ac:dyDescent="0.35">
      <c r="B60" s="106"/>
      <c r="C60" s="94" t="s">
        <v>491</v>
      </c>
      <c r="D60" s="95">
        <f>SUM(D56:D59)</f>
        <v>78.515999999999991</v>
      </c>
      <c r="E60" s="96"/>
      <c r="F60" s="97">
        <f>SUM(F56:F59)</f>
        <v>268.29450000000003</v>
      </c>
      <c r="I60" s="109"/>
      <c r="J60" s="109"/>
      <c r="K60" s="109"/>
      <c r="L60" s="109"/>
      <c r="M60" s="109"/>
      <c r="N60" s="109"/>
      <c r="O60" s="109"/>
      <c r="P60" s="107"/>
      <c r="Q60" s="109"/>
      <c r="R60" s="109"/>
      <c r="S60" s="109"/>
      <c r="T60" s="109"/>
      <c r="U60" s="109"/>
      <c r="V60" s="109"/>
      <c r="W60" s="109"/>
      <c r="X60" s="109"/>
      <c r="Y60" s="107"/>
      <c r="Z60" s="109"/>
      <c r="AA60" s="109"/>
      <c r="AB60" s="109"/>
      <c r="AC60" s="109"/>
      <c r="AD60" s="107"/>
      <c r="AE60" s="110"/>
    </row>
    <row r="61" spans="1:31" x14ac:dyDescent="0.35">
      <c r="B61" s="93"/>
      <c r="C61" s="102" t="s">
        <v>492</v>
      </c>
      <c r="D61" s="98">
        <f>D60-D59</f>
        <v>64.793999999999997</v>
      </c>
      <c r="E61" s="99"/>
      <c r="F61" s="100">
        <f>F60-F59</f>
        <v>203.80110000000002</v>
      </c>
      <c r="G61" s="97"/>
      <c r="H61" s="111"/>
      <c r="I61" s="111"/>
      <c r="J61" s="111"/>
      <c r="K61" s="111"/>
      <c r="L61" s="111"/>
      <c r="M61" s="111"/>
      <c r="N61" s="111"/>
      <c r="O61" s="111"/>
      <c r="P61" s="93"/>
      <c r="Q61" s="111"/>
      <c r="R61" s="111"/>
      <c r="S61" s="111"/>
      <c r="T61" s="111"/>
      <c r="U61" s="111"/>
      <c r="V61" s="111"/>
      <c r="W61" s="111"/>
      <c r="X61" s="111"/>
      <c r="Y61" s="93"/>
      <c r="Z61" s="111"/>
      <c r="AA61" s="111"/>
      <c r="AB61" s="111"/>
      <c r="AC61" s="111"/>
      <c r="AD61" s="93"/>
      <c r="AE61" s="112"/>
    </row>
    <row r="62" spans="1:31" x14ac:dyDescent="0.35">
      <c r="A62" s="22">
        <v>11</v>
      </c>
      <c r="B62" s="93" t="s">
        <v>502</v>
      </c>
      <c r="C62" s="94" t="s">
        <v>13</v>
      </c>
      <c r="D62" s="95">
        <v>13.724</v>
      </c>
      <c r="E62" s="96">
        <v>4.7</v>
      </c>
      <c r="F62" s="97">
        <f t="shared" ref="F62:F68" si="0">D62*E62</f>
        <v>64.502800000000008</v>
      </c>
      <c r="G62" s="99">
        <f>D62</f>
        <v>13.724</v>
      </c>
      <c r="H62" s="98"/>
      <c r="I62" s="99">
        <f>D64</f>
        <v>12.679</v>
      </c>
      <c r="J62" s="99">
        <f>D63</f>
        <v>12.305999999999999</v>
      </c>
      <c r="K62" s="99">
        <f>D65</f>
        <v>14.8</v>
      </c>
      <c r="L62" s="99">
        <f>D67</f>
        <v>12.305999999999999</v>
      </c>
      <c r="M62" s="99">
        <f>D66</f>
        <v>12.679</v>
      </c>
      <c r="N62" s="100"/>
      <c r="O62" s="100">
        <f>D68</f>
        <v>13.724</v>
      </c>
      <c r="P62" s="99">
        <f>E62</f>
        <v>4.7</v>
      </c>
      <c r="Q62" s="99"/>
      <c r="R62" s="99">
        <f>E64</f>
        <v>3.25</v>
      </c>
      <c r="S62" s="99">
        <f>E63</f>
        <v>3.9</v>
      </c>
      <c r="T62" s="99">
        <f>E65</f>
        <v>2.8000000000000003</v>
      </c>
      <c r="U62" s="99">
        <f>E67</f>
        <v>3.9</v>
      </c>
      <c r="V62" s="99">
        <f>E66</f>
        <v>3.25</v>
      </c>
      <c r="W62" s="100"/>
      <c r="X62" s="100">
        <f>E68</f>
        <v>4.7</v>
      </c>
      <c r="Y62" s="99"/>
      <c r="Z62" s="99">
        <f>2 *I62*R62</f>
        <v>82.413499999999999</v>
      </c>
      <c r="AA62" s="99">
        <f>2 *J62*S62</f>
        <v>95.986799999999988</v>
      </c>
      <c r="AB62" s="99">
        <f>K62*T62</f>
        <v>41.440000000000005</v>
      </c>
      <c r="AC62" s="100">
        <f>2 *O62*X62</f>
        <v>129.00560000000002</v>
      </c>
      <c r="AD62" s="99">
        <f>Y62+Z62+AA62+AB62+AC62</f>
        <v>348.84590000000003</v>
      </c>
      <c r="AE62" s="99">
        <f>AD62-AC62</f>
        <v>219.84030000000001</v>
      </c>
    </row>
    <row r="63" spans="1:31" x14ac:dyDescent="0.35">
      <c r="B63" s="101"/>
      <c r="C63" s="113" t="s">
        <v>12</v>
      </c>
      <c r="D63" s="98">
        <v>12.305999999999999</v>
      </c>
      <c r="E63" s="96">
        <v>3.9</v>
      </c>
      <c r="F63" s="97">
        <f t="shared" si="0"/>
        <v>47.993399999999994</v>
      </c>
      <c r="G63" s="103"/>
      <c r="H63" s="114"/>
      <c r="I63" s="114"/>
      <c r="J63" s="114"/>
      <c r="K63" s="114"/>
      <c r="L63" s="114"/>
      <c r="M63" s="114"/>
      <c r="N63" s="114"/>
      <c r="O63" s="114"/>
      <c r="P63" s="103"/>
      <c r="Q63" s="114"/>
      <c r="R63" s="114"/>
      <c r="S63" s="114"/>
      <c r="T63" s="114"/>
      <c r="U63" s="114"/>
      <c r="V63" s="114"/>
      <c r="W63" s="114"/>
      <c r="X63" s="114"/>
      <c r="Y63" s="103"/>
      <c r="Z63" s="114"/>
      <c r="AA63" s="114"/>
      <c r="AB63" s="114"/>
      <c r="AC63" s="114"/>
      <c r="AD63" s="103"/>
      <c r="AE63" s="115"/>
    </row>
    <row r="64" spans="1:31" x14ac:dyDescent="0.35">
      <c r="B64" s="106"/>
      <c r="C64" s="102" t="s">
        <v>503</v>
      </c>
      <c r="D64" s="109">
        <v>12.679</v>
      </c>
      <c r="E64" s="99">
        <v>3.25</v>
      </c>
      <c r="F64" s="100">
        <f t="shared" si="0"/>
        <v>41.20675</v>
      </c>
    </row>
    <row r="65" spans="1:31" x14ac:dyDescent="0.35">
      <c r="B65" s="106"/>
      <c r="C65" s="102" t="s">
        <v>504</v>
      </c>
      <c r="D65" s="98">
        <v>14.8</v>
      </c>
      <c r="E65" s="99">
        <v>2.8000000000000003</v>
      </c>
      <c r="F65" s="100">
        <f t="shared" si="0"/>
        <v>41.440000000000005</v>
      </c>
    </row>
    <row r="66" spans="1:31" x14ac:dyDescent="0.35">
      <c r="B66" s="106"/>
      <c r="C66" s="102" t="s">
        <v>503</v>
      </c>
      <c r="D66" s="115">
        <v>12.679</v>
      </c>
      <c r="E66" s="116">
        <v>3.25</v>
      </c>
      <c r="F66" s="103">
        <f t="shared" si="0"/>
        <v>41.20675</v>
      </c>
    </row>
    <row r="67" spans="1:31" x14ac:dyDescent="0.35">
      <c r="B67" s="106"/>
      <c r="C67" s="113" t="s">
        <v>12</v>
      </c>
      <c r="D67" s="115">
        <v>12.305999999999999</v>
      </c>
      <c r="E67" s="116">
        <v>3.9</v>
      </c>
      <c r="F67" s="103">
        <f t="shared" si="0"/>
        <v>47.993399999999994</v>
      </c>
    </row>
    <row r="68" spans="1:31" x14ac:dyDescent="0.35">
      <c r="B68" s="106"/>
      <c r="C68" s="102" t="s">
        <v>13</v>
      </c>
      <c r="D68" s="98">
        <v>13.724</v>
      </c>
      <c r="E68" s="99">
        <v>4.7</v>
      </c>
      <c r="F68" s="100">
        <f t="shared" si="0"/>
        <v>64.502800000000008</v>
      </c>
    </row>
    <row r="69" spans="1:31" x14ac:dyDescent="0.35">
      <c r="B69" s="106"/>
      <c r="C69" s="94" t="s">
        <v>491</v>
      </c>
      <c r="D69" s="95">
        <f>SUM(D62:D68)</f>
        <v>92.218000000000004</v>
      </c>
      <c r="E69" s="96"/>
      <c r="F69" s="97">
        <f>SUM(F62:F68)</f>
        <v>348.84590000000003</v>
      </c>
      <c r="I69" s="109"/>
      <c r="J69" s="109"/>
      <c r="K69" s="109"/>
      <c r="L69" s="109"/>
      <c r="M69" s="109"/>
      <c r="N69" s="109"/>
      <c r="O69" s="109"/>
      <c r="P69" s="107"/>
      <c r="Q69" s="109"/>
      <c r="R69" s="109"/>
      <c r="S69" s="109"/>
      <c r="T69" s="109"/>
      <c r="U69" s="109"/>
      <c r="V69" s="109"/>
      <c r="W69" s="109"/>
      <c r="X69" s="109"/>
      <c r="Y69" s="107"/>
      <c r="Z69" s="109"/>
      <c r="AA69" s="109"/>
      <c r="AB69" s="109"/>
      <c r="AC69" s="109"/>
      <c r="AD69" s="107"/>
      <c r="AE69" s="110"/>
    </row>
    <row r="70" spans="1:31" x14ac:dyDescent="0.35">
      <c r="B70" s="93"/>
      <c r="C70" s="102" t="s">
        <v>492</v>
      </c>
      <c r="D70" s="98">
        <f>D69-D68</f>
        <v>78.494</v>
      </c>
      <c r="E70" s="99"/>
      <c r="F70" s="100">
        <f>F69-F68</f>
        <v>284.34310000000005</v>
      </c>
      <c r="G70" s="97"/>
      <c r="H70" s="111"/>
      <c r="I70" s="111"/>
      <c r="J70" s="111"/>
      <c r="K70" s="111"/>
      <c r="L70" s="111"/>
      <c r="M70" s="111"/>
      <c r="N70" s="111"/>
      <c r="O70" s="111"/>
      <c r="P70" s="93"/>
      <c r="Q70" s="111"/>
      <c r="R70" s="111"/>
      <c r="S70" s="111"/>
      <c r="T70" s="111"/>
      <c r="U70" s="111"/>
      <c r="V70" s="111"/>
      <c r="W70" s="111"/>
      <c r="X70" s="111"/>
      <c r="Y70" s="93"/>
      <c r="Z70" s="111"/>
      <c r="AA70" s="111"/>
      <c r="AB70" s="111"/>
      <c r="AC70" s="111"/>
      <c r="AD70" s="93"/>
      <c r="AE70" s="112"/>
    </row>
    <row r="71" spans="1:31" x14ac:dyDescent="0.35">
      <c r="A71" s="22">
        <v>12</v>
      </c>
      <c r="B71" s="93" t="s">
        <v>505</v>
      </c>
      <c r="C71" s="94" t="s">
        <v>506</v>
      </c>
      <c r="D71" s="95">
        <v>8.8539999999999992</v>
      </c>
      <c r="E71" s="96">
        <v>4.7</v>
      </c>
      <c r="F71" s="97">
        <f>D71*E71</f>
        <v>41.613799999999998</v>
      </c>
      <c r="G71" s="97">
        <f>D71</f>
        <v>8.8539999999999992</v>
      </c>
      <c r="H71" s="98"/>
      <c r="I71" s="99"/>
      <c r="J71" s="99">
        <f>D72</f>
        <v>16.965</v>
      </c>
      <c r="K71" s="99">
        <f>D73</f>
        <v>14.676</v>
      </c>
      <c r="L71" s="99">
        <f>D74</f>
        <v>12.834</v>
      </c>
      <c r="M71" s="99"/>
      <c r="N71" s="100"/>
      <c r="O71" s="100">
        <f>D75</f>
        <v>5.79</v>
      </c>
      <c r="P71" s="99">
        <f>E71</f>
        <v>4.7</v>
      </c>
      <c r="Q71" s="99"/>
      <c r="R71" s="99"/>
      <c r="S71" s="99">
        <f>E72</f>
        <v>3.6</v>
      </c>
      <c r="T71" s="99">
        <f>E73</f>
        <v>3</v>
      </c>
      <c r="U71" s="99">
        <f>E74</f>
        <v>3.75</v>
      </c>
      <c r="V71" s="99"/>
      <c r="W71" s="100"/>
      <c r="X71" s="100">
        <f>E75</f>
        <v>4.7</v>
      </c>
      <c r="Y71" s="99"/>
      <c r="Z71" s="99"/>
      <c r="AA71" s="99">
        <f>J71*S71+L71*U71</f>
        <v>109.2015</v>
      </c>
      <c r="AB71" s="99">
        <f>K71*T71</f>
        <v>44.027999999999999</v>
      </c>
      <c r="AC71" s="100">
        <f>G71*P71+O71*X71</f>
        <v>68.826799999999992</v>
      </c>
      <c r="AD71" s="99">
        <f>Y71+Z71+AA71+AB71+AC71</f>
        <v>222.05629999999999</v>
      </c>
      <c r="AE71" s="99">
        <f>AD71-AC71</f>
        <v>153.2295</v>
      </c>
    </row>
    <row r="72" spans="1:31" x14ac:dyDescent="0.35">
      <c r="B72" s="106"/>
      <c r="C72" s="113" t="s">
        <v>507</v>
      </c>
      <c r="D72" s="95">
        <v>16.965</v>
      </c>
      <c r="E72" s="96">
        <v>3.6</v>
      </c>
      <c r="F72" s="97">
        <f>D72*E72</f>
        <v>61.073999999999998</v>
      </c>
      <c r="H72" s="109"/>
      <c r="I72" s="109"/>
      <c r="J72" s="109"/>
      <c r="K72" s="109"/>
      <c r="L72" s="109"/>
      <c r="M72" s="109"/>
      <c r="N72" s="109"/>
      <c r="O72" s="109"/>
      <c r="P72" s="107"/>
      <c r="Q72" s="109"/>
      <c r="R72" s="109"/>
      <c r="S72" s="109"/>
      <c r="T72" s="109"/>
      <c r="U72" s="109"/>
      <c r="V72" s="109"/>
      <c r="W72" s="109"/>
      <c r="X72" s="109"/>
      <c r="Y72" s="107"/>
      <c r="Z72" s="109"/>
      <c r="AA72" s="109"/>
      <c r="AB72" s="109"/>
      <c r="AC72" s="109"/>
      <c r="AD72" s="107"/>
      <c r="AE72" s="110"/>
    </row>
    <row r="73" spans="1:31" x14ac:dyDescent="0.35">
      <c r="B73" s="106"/>
      <c r="C73" s="102" t="s">
        <v>504</v>
      </c>
      <c r="D73" s="95">
        <v>14.676</v>
      </c>
      <c r="E73" s="96">
        <v>3</v>
      </c>
      <c r="F73" s="97">
        <f>D73*E73</f>
        <v>44.027999999999999</v>
      </c>
      <c r="H73" s="109"/>
      <c r="I73" s="109"/>
      <c r="J73" s="109"/>
      <c r="K73" s="109"/>
      <c r="L73" s="109"/>
      <c r="M73" s="109"/>
      <c r="N73" s="109"/>
      <c r="O73" s="109"/>
      <c r="P73" s="107"/>
      <c r="Q73" s="109"/>
      <c r="R73" s="109"/>
      <c r="S73" s="109"/>
      <c r="T73" s="109"/>
      <c r="U73" s="109"/>
      <c r="V73" s="109"/>
      <c r="W73" s="109"/>
      <c r="X73" s="109"/>
      <c r="Y73" s="107"/>
      <c r="Z73" s="109"/>
      <c r="AA73" s="109"/>
      <c r="AB73" s="109"/>
      <c r="AC73" s="109"/>
      <c r="AD73" s="107"/>
      <c r="AE73" s="110"/>
    </row>
    <row r="74" spans="1:31" x14ac:dyDescent="0.35">
      <c r="B74" s="106"/>
      <c r="C74" s="113" t="s">
        <v>508</v>
      </c>
      <c r="D74" s="98">
        <v>12.834</v>
      </c>
      <c r="E74" s="99">
        <v>3.75</v>
      </c>
      <c r="F74" s="100">
        <f>D74*E74</f>
        <v>48.127499999999998</v>
      </c>
    </row>
    <row r="75" spans="1:31" x14ac:dyDescent="0.35">
      <c r="B75" s="106"/>
      <c r="C75" s="102" t="s">
        <v>509</v>
      </c>
      <c r="D75" s="98">
        <v>5.79</v>
      </c>
      <c r="E75" s="99">
        <v>4.7</v>
      </c>
      <c r="F75" s="100">
        <f>D75*E75</f>
        <v>27.213000000000001</v>
      </c>
    </row>
    <row r="76" spans="1:31" x14ac:dyDescent="0.35">
      <c r="B76" s="106"/>
      <c r="C76" s="94" t="s">
        <v>491</v>
      </c>
      <c r="D76" s="95">
        <f>SUM(D71:D75)</f>
        <v>59.118999999999993</v>
      </c>
      <c r="E76" s="96"/>
      <c r="F76" s="97">
        <f>SUM(F71:F75)</f>
        <v>222.05629999999999</v>
      </c>
      <c r="I76" s="109"/>
      <c r="J76" s="109"/>
      <c r="K76" s="109"/>
      <c r="L76" s="109"/>
      <c r="M76" s="109"/>
      <c r="N76" s="109"/>
      <c r="O76" s="109"/>
      <c r="P76" s="107"/>
      <c r="Q76" s="109"/>
      <c r="R76" s="109"/>
      <c r="S76" s="109"/>
      <c r="T76" s="109"/>
      <c r="U76" s="109"/>
      <c r="V76" s="109"/>
      <c r="W76" s="109"/>
      <c r="X76" s="109"/>
      <c r="Y76" s="107"/>
      <c r="Z76" s="109"/>
      <c r="AA76" s="109"/>
      <c r="AB76" s="109"/>
      <c r="AC76" s="109"/>
      <c r="AD76" s="107"/>
      <c r="AE76" s="110"/>
    </row>
    <row r="77" spans="1:31" x14ac:dyDescent="0.35">
      <c r="B77" s="93"/>
      <c r="C77" s="102" t="s">
        <v>492</v>
      </c>
      <c r="D77" s="98">
        <f>D76-D75</f>
        <v>53.328999999999994</v>
      </c>
      <c r="E77" s="99"/>
      <c r="F77" s="100">
        <f>F76-F75</f>
        <v>194.8433</v>
      </c>
      <c r="G77" s="97"/>
      <c r="H77" s="111"/>
      <c r="I77" s="111"/>
      <c r="J77" s="111"/>
      <c r="K77" s="111"/>
      <c r="L77" s="111"/>
      <c r="M77" s="111"/>
      <c r="N77" s="111"/>
      <c r="O77" s="111"/>
      <c r="P77" s="93"/>
      <c r="Q77" s="111"/>
      <c r="R77" s="111"/>
      <c r="S77" s="111"/>
      <c r="T77" s="111"/>
      <c r="U77" s="111"/>
      <c r="V77" s="111"/>
      <c r="W77" s="111"/>
      <c r="X77" s="111"/>
      <c r="Y77" s="93"/>
      <c r="Z77" s="111"/>
      <c r="AA77" s="111"/>
      <c r="AB77" s="111"/>
      <c r="AC77" s="111"/>
      <c r="AD77" s="93"/>
      <c r="AE77" s="112"/>
    </row>
    <row r="78" spans="1:31" x14ac:dyDescent="0.35">
      <c r="A78" s="22">
        <v>13</v>
      </c>
      <c r="B78" s="93" t="s">
        <v>510</v>
      </c>
      <c r="C78" s="94" t="s">
        <v>511</v>
      </c>
      <c r="D78" s="95">
        <v>1.4000000000000001</v>
      </c>
      <c r="E78" s="96">
        <v>4.9000000000000004</v>
      </c>
      <c r="F78" s="97">
        <f>D78*E78</f>
        <v>6.8600000000000012</v>
      </c>
      <c r="G78" s="97">
        <f>D78</f>
        <v>1.4000000000000001</v>
      </c>
      <c r="H78" s="98"/>
      <c r="I78" s="99"/>
      <c r="J78" s="99">
        <f>D79</f>
        <v>5.1749999999999998</v>
      </c>
      <c r="K78" s="99">
        <f>D80</f>
        <v>3.468</v>
      </c>
      <c r="L78" s="99">
        <f>D81</f>
        <v>5.1749999999999998</v>
      </c>
      <c r="M78" s="99"/>
      <c r="N78" s="100"/>
      <c r="O78" s="100">
        <f>D82</f>
        <v>1.4000000000000001</v>
      </c>
      <c r="P78" s="99">
        <f>E78</f>
        <v>4.9000000000000004</v>
      </c>
      <c r="Q78" s="99"/>
      <c r="R78" s="99"/>
      <c r="S78" s="99">
        <f>E79</f>
        <v>4</v>
      </c>
      <c r="T78" s="99">
        <f>E80</f>
        <v>3</v>
      </c>
      <c r="U78" s="99">
        <f>E81</f>
        <v>4</v>
      </c>
      <c r="V78" s="99"/>
      <c r="W78" s="100"/>
      <c r="X78" s="100">
        <f>E82</f>
        <v>4.9000000000000004</v>
      </c>
      <c r="Y78" s="99"/>
      <c r="Z78" s="99"/>
      <c r="AA78" s="99">
        <f>J78*S78+L78*U78</f>
        <v>41.4</v>
      </c>
      <c r="AB78" s="99">
        <f>K78*T78</f>
        <v>10.404</v>
      </c>
      <c r="AC78" s="100">
        <f>G78*P78+O78*X78</f>
        <v>13.720000000000002</v>
      </c>
      <c r="AD78" s="99">
        <f>Y78+Z78+AA78+AB78+AC78</f>
        <v>65.524000000000001</v>
      </c>
      <c r="AE78" s="99">
        <f>AD78-AC78</f>
        <v>51.804000000000002</v>
      </c>
    </row>
    <row r="79" spans="1:31" x14ac:dyDescent="0.35">
      <c r="B79" s="101"/>
      <c r="C79" s="102" t="s">
        <v>512</v>
      </c>
      <c r="D79" s="98">
        <v>5.1749999999999998</v>
      </c>
      <c r="E79" s="99">
        <v>4</v>
      </c>
      <c r="F79" s="100">
        <f>D79*E79</f>
        <v>20.7</v>
      </c>
      <c r="G79" s="103"/>
      <c r="H79" s="104"/>
      <c r="I79" s="104"/>
      <c r="J79" s="104"/>
      <c r="K79" s="104"/>
      <c r="L79" s="104"/>
      <c r="M79" s="104"/>
      <c r="N79" s="104"/>
      <c r="O79" s="104"/>
      <c r="P79" s="101"/>
      <c r="Q79" s="104"/>
      <c r="R79" s="104"/>
      <c r="S79" s="104"/>
      <c r="T79" s="104"/>
      <c r="U79" s="104"/>
      <c r="V79" s="104"/>
      <c r="W79" s="104"/>
      <c r="X79" s="104"/>
      <c r="Y79" s="101"/>
      <c r="Z79" s="104"/>
      <c r="AA79" s="104"/>
      <c r="AB79" s="104"/>
      <c r="AC79" s="104"/>
      <c r="AD79" s="101"/>
      <c r="AE79" s="105"/>
    </row>
    <row r="80" spans="1:31" x14ac:dyDescent="0.35">
      <c r="B80" s="106"/>
      <c r="C80" s="102" t="s">
        <v>504</v>
      </c>
      <c r="D80" s="98">
        <v>3.468</v>
      </c>
      <c r="E80" s="99">
        <v>3</v>
      </c>
      <c r="F80" s="100">
        <f>D80*E80</f>
        <v>10.404</v>
      </c>
    </row>
    <row r="81" spans="1:31" x14ac:dyDescent="0.35">
      <c r="B81" s="106"/>
      <c r="C81" s="102" t="s">
        <v>513</v>
      </c>
      <c r="D81" s="98">
        <v>5.1749999999999998</v>
      </c>
      <c r="E81" s="99">
        <v>4</v>
      </c>
      <c r="F81" s="100">
        <f>D81*E81</f>
        <v>20.7</v>
      </c>
    </row>
    <row r="82" spans="1:31" x14ac:dyDescent="0.35">
      <c r="B82" s="106"/>
      <c r="C82" s="102" t="s">
        <v>514</v>
      </c>
      <c r="D82" s="98">
        <v>1.4000000000000001</v>
      </c>
      <c r="E82" s="99">
        <v>4.9000000000000004</v>
      </c>
      <c r="F82" s="100">
        <f>D82*E82</f>
        <v>6.8600000000000012</v>
      </c>
    </row>
    <row r="83" spans="1:31" x14ac:dyDescent="0.35">
      <c r="B83" s="106"/>
      <c r="C83" s="94" t="s">
        <v>491</v>
      </c>
      <c r="D83" s="95">
        <f>SUM(D78:D82)</f>
        <v>16.617999999999999</v>
      </c>
      <c r="E83" s="96"/>
      <c r="F83" s="97">
        <f>SUM(F78:F82)</f>
        <v>65.524000000000001</v>
      </c>
      <c r="I83" s="109"/>
      <c r="J83" s="109"/>
      <c r="K83" s="109"/>
      <c r="L83" s="109"/>
      <c r="M83" s="109"/>
      <c r="N83" s="109"/>
      <c r="O83" s="109"/>
      <c r="P83" s="107"/>
      <c r="Q83" s="109"/>
      <c r="R83" s="109"/>
      <c r="S83" s="109"/>
      <c r="T83" s="109"/>
      <c r="U83" s="109"/>
      <c r="V83" s="109"/>
      <c r="W83" s="109"/>
      <c r="X83" s="109"/>
      <c r="Y83" s="107"/>
      <c r="Z83" s="109"/>
      <c r="AA83" s="109"/>
      <c r="AB83" s="109"/>
      <c r="AC83" s="109"/>
      <c r="AD83" s="107"/>
      <c r="AE83" s="110"/>
    </row>
    <row r="84" spans="1:31" x14ac:dyDescent="0.35">
      <c r="B84" s="93"/>
      <c r="C84" s="102" t="s">
        <v>492</v>
      </c>
      <c r="D84" s="98">
        <f>D83-D82</f>
        <v>15.217999999999998</v>
      </c>
      <c r="E84" s="99"/>
      <c r="F84" s="100">
        <f>F83-F82</f>
        <v>58.664000000000001</v>
      </c>
      <c r="G84" s="97"/>
      <c r="H84" s="111"/>
      <c r="I84" s="111"/>
      <c r="J84" s="111"/>
      <c r="K84" s="111"/>
      <c r="L84" s="111"/>
      <c r="M84" s="111"/>
      <c r="N84" s="111"/>
      <c r="O84" s="111"/>
      <c r="P84" s="93"/>
      <c r="Q84" s="111"/>
      <c r="R84" s="111"/>
      <c r="S84" s="111"/>
      <c r="T84" s="111"/>
      <c r="U84" s="111"/>
      <c r="V84" s="111"/>
      <c r="W84" s="111"/>
      <c r="X84" s="111"/>
      <c r="Y84" s="93"/>
      <c r="Z84" s="111"/>
      <c r="AA84" s="111"/>
      <c r="AB84" s="111"/>
      <c r="AC84" s="111"/>
      <c r="AD84" s="93"/>
      <c r="AE84" s="112"/>
    </row>
    <row r="85" spans="1:31" x14ac:dyDescent="0.35">
      <c r="A85" s="22">
        <v>14</v>
      </c>
      <c r="B85" s="93" t="s">
        <v>515</v>
      </c>
      <c r="C85" s="94" t="s">
        <v>511</v>
      </c>
      <c r="D85" s="95">
        <v>1.4000000000000001</v>
      </c>
      <c r="E85" s="96">
        <v>4.9000000000000004</v>
      </c>
      <c r="F85" s="97">
        <f>D85*E85</f>
        <v>6.8600000000000012</v>
      </c>
      <c r="G85" s="97">
        <f>D85</f>
        <v>1.4000000000000001</v>
      </c>
      <c r="H85" s="98"/>
      <c r="I85" s="99"/>
      <c r="J85" s="99">
        <f>D86</f>
        <v>6.125</v>
      </c>
      <c r="K85" s="99">
        <f>D87</f>
        <v>3.59</v>
      </c>
      <c r="L85" s="99">
        <f>D88</f>
        <v>6.125</v>
      </c>
      <c r="M85" s="99"/>
      <c r="N85" s="100"/>
      <c r="O85" s="100">
        <f>D89</f>
        <v>1.4000000000000001</v>
      </c>
      <c r="P85" s="99">
        <f>E85</f>
        <v>4.9000000000000004</v>
      </c>
      <c r="Q85" s="99"/>
      <c r="R85" s="99"/>
      <c r="S85" s="99">
        <f>E86</f>
        <v>3.8000000000000003</v>
      </c>
      <c r="T85" s="99">
        <f>E87</f>
        <v>2.8000000000000003</v>
      </c>
      <c r="U85" s="99">
        <f>E88</f>
        <v>3.8000000000000003</v>
      </c>
      <c r="V85" s="99"/>
      <c r="W85" s="100"/>
      <c r="X85" s="100">
        <f>E89</f>
        <v>4.9000000000000004</v>
      </c>
      <c r="Y85" s="99"/>
      <c r="Z85" s="99"/>
      <c r="AA85" s="99">
        <f>J85*S85+L85*U85</f>
        <v>46.550000000000004</v>
      </c>
      <c r="AB85" s="99">
        <f>K85*T85</f>
        <v>10.052000000000001</v>
      </c>
      <c r="AC85" s="100">
        <f>G85*P85+O85*X85</f>
        <v>13.720000000000002</v>
      </c>
      <c r="AD85" s="99">
        <f>Y85+Z85+AA85+AB85+AC85</f>
        <v>70.322000000000003</v>
      </c>
      <c r="AE85" s="99">
        <f>AD85-AC85</f>
        <v>56.602000000000004</v>
      </c>
    </row>
    <row r="86" spans="1:31" x14ac:dyDescent="0.35">
      <c r="B86" s="101"/>
      <c r="C86" s="102" t="s">
        <v>512</v>
      </c>
      <c r="D86" s="98">
        <v>6.125</v>
      </c>
      <c r="E86" s="99">
        <v>3.8000000000000003</v>
      </c>
      <c r="F86" s="100">
        <f>D86*E86</f>
        <v>23.275000000000002</v>
      </c>
      <c r="G86" s="103"/>
      <c r="H86" s="104"/>
      <c r="I86" s="104"/>
      <c r="J86" s="104"/>
      <c r="K86" s="104"/>
      <c r="L86" s="104"/>
      <c r="M86" s="104"/>
      <c r="N86" s="104"/>
      <c r="O86" s="104"/>
      <c r="P86" s="101"/>
      <c r="Q86" s="104"/>
      <c r="R86" s="104"/>
      <c r="S86" s="104"/>
      <c r="T86" s="104"/>
      <c r="U86" s="104"/>
      <c r="V86" s="104"/>
      <c r="W86" s="104"/>
      <c r="X86" s="104"/>
      <c r="Y86" s="101"/>
      <c r="Z86" s="104"/>
      <c r="AA86" s="104"/>
      <c r="AB86" s="104"/>
      <c r="AC86" s="104"/>
      <c r="AD86" s="101"/>
      <c r="AE86" s="105"/>
    </row>
    <row r="87" spans="1:31" x14ac:dyDescent="0.35">
      <c r="B87" s="106"/>
      <c r="C87" s="102" t="s">
        <v>504</v>
      </c>
      <c r="D87" s="98">
        <v>3.59</v>
      </c>
      <c r="E87" s="99">
        <v>2.8000000000000003</v>
      </c>
      <c r="F87" s="100">
        <f>D87*E87</f>
        <v>10.052000000000001</v>
      </c>
    </row>
    <row r="88" spans="1:31" x14ac:dyDescent="0.35">
      <c r="B88" s="106"/>
      <c r="C88" s="102" t="s">
        <v>513</v>
      </c>
      <c r="D88" s="98">
        <v>6.125</v>
      </c>
      <c r="E88" s="99">
        <v>3.8000000000000003</v>
      </c>
      <c r="F88" s="100">
        <f>D88*E88</f>
        <v>23.275000000000002</v>
      </c>
    </row>
    <row r="89" spans="1:31" x14ac:dyDescent="0.35">
      <c r="B89" s="106"/>
      <c r="C89" s="102" t="s">
        <v>514</v>
      </c>
      <c r="D89" s="98">
        <v>1.4000000000000001</v>
      </c>
      <c r="E89" s="99">
        <v>4.9000000000000004</v>
      </c>
      <c r="F89" s="100">
        <f>D89*E89</f>
        <v>6.8600000000000012</v>
      </c>
    </row>
    <row r="90" spans="1:31" x14ac:dyDescent="0.35">
      <c r="B90" s="106"/>
      <c r="C90" s="94" t="s">
        <v>491</v>
      </c>
      <c r="D90" s="95">
        <f>SUM(D85:D89)</f>
        <v>18.64</v>
      </c>
      <c r="E90" s="96"/>
      <c r="F90" s="97">
        <f>SUM(F85:F89)</f>
        <v>70.322000000000003</v>
      </c>
      <c r="I90" s="109"/>
      <c r="J90" s="109"/>
      <c r="K90" s="109"/>
      <c r="L90" s="109"/>
      <c r="M90" s="109"/>
      <c r="N90" s="109"/>
      <c r="O90" s="109"/>
      <c r="P90" s="107"/>
      <c r="Q90" s="109"/>
      <c r="R90" s="109"/>
      <c r="S90" s="109"/>
      <c r="T90" s="109"/>
      <c r="U90" s="109"/>
      <c r="V90" s="109"/>
      <c r="W90" s="109"/>
      <c r="X90" s="109"/>
      <c r="Y90" s="107"/>
      <c r="Z90" s="109"/>
      <c r="AA90" s="109"/>
      <c r="AB90" s="109"/>
      <c r="AC90" s="109"/>
      <c r="AD90" s="107"/>
      <c r="AE90" s="110"/>
    </row>
    <row r="91" spans="1:31" x14ac:dyDescent="0.35">
      <c r="B91" s="93"/>
      <c r="C91" s="102" t="s">
        <v>492</v>
      </c>
      <c r="D91" s="98">
        <f>D90-D89</f>
        <v>17.240000000000002</v>
      </c>
      <c r="E91" s="99"/>
      <c r="F91" s="100">
        <f>F90-F89</f>
        <v>63.462000000000003</v>
      </c>
      <c r="G91" s="97"/>
      <c r="H91" s="111"/>
      <c r="I91" s="111"/>
      <c r="J91" s="111"/>
      <c r="K91" s="111"/>
      <c r="L91" s="111"/>
      <c r="M91" s="111"/>
      <c r="N91" s="111"/>
      <c r="O91" s="111"/>
      <c r="P91" s="93"/>
      <c r="Q91" s="111"/>
      <c r="R91" s="111"/>
      <c r="S91" s="111"/>
      <c r="T91" s="111"/>
      <c r="U91" s="111"/>
      <c r="V91" s="111"/>
      <c r="W91" s="111"/>
      <c r="X91" s="111"/>
      <c r="Y91" s="93"/>
      <c r="Z91" s="111"/>
      <c r="AA91" s="111"/>
      <c r="AB91" s="111"/>
      <c r="AC91" s="111"/>
      <c r="AD91" s="93"/>
      <c r="AE91" s="112"/>
    </row>
    <row r="92" spans="1:31" x14ac:dyDescent="0.35">
      <c r="A92" s="22">
        <v>15</v>
      </c>
      <c r="B92" s="93" t="s">
        <v>516</v>
      </c>
      <c r="C92" s="94" t="s">
        <v>511</v>
      </c>
      <c r="D92" s="95">
        <v>1.4000000000000001</v>
      </c>
      <c r="E92" s="96">
        <v>4.9000000000000004</v>
      </c>
      <c r="F92" s="97">
        <f>D92*E92</f>
        <v>6.8600000000000012</v>
      </c>
      <c r="G92" s="97">
        <f>D92</f>
        <v>1.4000000000000001</v>
      </c>
      <c r="H92" s="98"/>
      <c r="I92" s="99"/>
      <c r="J92" s="99">
        <f>D93</f>
        <v>7.407</v>
      </c>
      <c r="K92" s="99">
        <f>D94</f>
        <v>4.9480000000000004</v>
      </c>
      <c r="L92" s="99">
        <f>D95</f>
        <v>7.407</v>
      </c>
      <c r="M92" s="99"/>
      <c r="N92" s="100"/>
      <c r="O92" s="100">
        <f>D96</f>
        <v>1.4000000000000001</v>
      </c>
      <c r="P92" s="99">
        <f>E92</f>
        <v>4.9000000000000004</v>
      </c>
      <c r="Q92" s="99"/>
      <c r="R92" s="99"/>
      <c r="S92" s="99">
        <f>E93</f>
        <v>3.8000000000000003</v>
      </c>
      <c r="T92" s="99">
        <f>E94</f>
        <v>2.8000000000000003</v>
      </c>
      <c r="U92" s="99">
        <f>E95</f>
        <v>3.8000000000000003</v>
      </c>
      <c r="V92" s="99"/>
      <c r="W92" s="100"/>
      <c r="X92" s="100">
        <f>E96</f>
        <v>4.9000000000000004</v>
      </c>
      <c r="Y92" s="99"/>
      <c r="Z92" s="99"/>
      <c r="AA92" s="99">
        <f>J92*S92+L92*U92</f>
        <v>56.293200000000006</v>
      </c>
      <c r="AB92" s="99">
        <f>K92*T92</f>
        <v>13.854400000000002</v>
      </c>
      <c r="AC92" s="100">
        <f>G92*P92+O92*X92</f>
        <v>13.720000000000002</v>
      </c>
      <c r="AD92" s="99">
        <f>Y92+Z92+AA92+AB92+AC92</f>
        <v>83.86760000000001</v>
      </c>
      <c r="AE92" s="99">
        <f>AD92-AC92</f>
        <v>70.147600000000011</v>
      </c>
    </row>
    <row r="93" spans="1:31" x14ac:dyDescent="0.35">
      <c r="B93" s="101"/>
      <c r="C93" s="102" t="s">
        <v>512</v>
      </c>
      <c r="D93" s="98">
        <v>7.407</v>
      </c>
      <c r="E93" s="99">
        <v>3.8000000000000003</v>
      </c>
      <c r="F93" s="100">
        <f>D93*E93</f>
        <v>28.146600000000003</v>
      </c>
      <c r="G93" s="103"/>
      <c r="H93" s="104"/>
      <c r="I93" s="104"/>
      <c r="J93" s="104"/>
      <c r="K93" s="104"/>
      <c r="L93" s="104"/>
      <c r="M93" s="104"/>
      <c r="N93" s="104"/>
      <c r="O93" s="104"/>
      <c r="P93" s="101"/>
      <c r="Q93" s="104"/>
      <c r="R93" s="104"/>
      <c r="S93" s="104"/>
      <c r="T93" s="104"/>
      <c r="U93" s="104"/>
      <c r="V93" s="104"/>
      <c r="W93" s="104"/>
      <c r="X93" s="104"/>
      <c r="Y93" s="101"/>
      <c r="Z93" s="104"/>
      <c r="AA93" s="104"/>
      <c r="AB93" s="104"/>
      <c r="AC93" s="104"/>
      <c r="AD93" s="101"/>
      <c r="AE93" s="105"/>
    </row>
    <row r="94" spans="1:31" x14ac:dyDescent="0.35">
      <c r="B94" s="106"/>
      <c r="C94" s="102" t="s">
        <v>504</v>
      </c>
      <c r="D94" s="98">
        <v>4.9480000000000004</v>
      </c>
      <c r="E94" s="99">
        <v>2.8000000000000003</v>
      </c>
      <c r="F94" s="100">
        <f>D94*E94</f>
        <v>13.854400000000002</v>
      </c>
    </row>
    <row r="95" spans="1:31" x14ac:dyDescent="0.35">
      <c r="B95" s="106"/>
      <c r="C95" s="102" t="s">
        <v>513</v>
      </c>
      <c r="D95" s="98">
        <v>7.407</v>
      </c>
      <c r="E95" s="99">
        <v>3.8000000000000003</v>
      </c>
      <c r="F95" s="100">
        <f>D95*E95</f>
        <v>28.146600000000003</v>
      </c>
    </row>
    <row r="96" spans="1:31" x14ac:dyDescent="0.35">
      <c r="B96" s="106"/>
      <c r="C96" s="102" t="s">
        <v>514</v>
      </c>
      <c r="D96" s="98">
        <v>1.4000000000000001</v>
      </c>
      <c r="E96" s="99">
        <v>4.9000000000000004</v>
      </c>
      <c r="F96" s="100">
        <f>D96*E96</f>
        <v>6.8600000000000012</v>
      </c>
    </row>
    <row r="97" spans="1:31" x14ac:dyDescent="0.35">
      <c r="B97" s="106"/>
      <c r="C97" s="94" t="s">
        <v>491</v>
      </c>
      <c r="D97" s="95">
        <f>SUM(D92:D96)</f>
        <v>22.561999999999998</v>
      </c>
      <c r="E97" s="96"/>
      <c r="F97" s="97">
        <f>SUM(F92:F96)</f>
        <v>83.86760000000001</v>
      </c>
      <c r="I97" s="109"/>
      <c r="J97" s="109"/>
      <c r="K97" s="109"/>
      <c r="L97" s="109"/>
      <c r="M97" s="109"/>
      <c r="N97" s="109"/>
      <c r="O97" s="109"/>
      <c r="P97" s="107"/>
      <c r="Q97" s="109"/>
      <c r="R97" s="109"/>
      <c r="S97" s="109"/>
      <c r="T97" s="109"/>
      <c r="U97" s="109"/>
      <c r="V97" s="109"/>
      <c r="W97" s="109"/>
      <c r="X97" s="109"/>
      <c r="Y97" s="107"/>
      <c r="Z97" s="109"/>
      <c r="AA97" s="109"/>
      <c r="AB97" s="109"/>
      <c r="AC97" s="109"/>
      <c r="AD97" s="107"/>
      <c r="AE97" s="110"/>
    </row>
    <row r="98" spans="1:31" x14ac:dyDescent="0.35">
      <c r="B98" s="93"/>
      <c r="C98" s="102" t="s">
        <v>492</v>
      </c>
      <c r="D98" s="98">
        <f>D97-D96</f>
        <v>21.161999999999999</v>
      </c>
      <c r="E98" s="99"/>
      <c r="F98" s="100">
        <f>F97-F96</f>
        <v>77.007600000000011</v>
      </c>
      <c r="G98" s="97"/>
      <c r="H98" s="111"/>
      <c r="I98" s="111"/>
      <c r="J98" s="111"/>
      <c r="K98" s="111"/>
      <c r="L98" s="111"/>
      <c r="M98" s="111"/>
      <c r="N98" s="111"/>
      <c r="O98" s="111"/>
      <c r="P98" s="93"/>
      <c r="Q98" s="111"/>
      <c r="R98" s="111"/>
      <c r="S98" s="111"/>
      <c r="T98" s="111"/>
      <c r="U98" s="111"/>
      <c r="V98" s="111"/>
      <c r="W98" s="111"/>
      <c r="X98" s="111"/>
      <c r="Y98" s="93"/>
      <c r="Z98" s="111"/>
      <c r="AA98" s="111"/>
      <c r="AB98" s="111"/>
      <c r="AC98" s="111"/>
      <c r="AD98" s="93"/>
      <c r="AE98" s="112"/>
    </row>
    <row r="99" spans="1:31" x14ac:dyDescent="0.35">
      <c r="A99" s="22">
        <v>16</v>
      </c>
      <c r="B99" s="93" t="s">
        <v>517</v>
      </c>
      <c r="C99" s="94" t="s">
        <v>511</v>
      </c>
      <c r="D99" s="95">
        <v>1.4000000000000001</v>
      </c>
      <c r="E99" s="96">
        <v>4.9000000000000004</v>
      </c>
      <c r="F99" s="97">
        <f>D99*E99</f>
        <v>6.8600000000000012</v>
      </c>
      <c r="G99" s="97">
        <f>D99</f>
        <v>1.4000000000000001</v>
      </c>
      <c r="H99" s="98"/>
      <c r="I99" s="99"/>
      <c r="J99" s="99">
        <f>D100</f>
        <v>9.2129999999999992</v>
      </c>
      <c r="K99" s="99">
        <f>D101</f>
        <v>3.3879999999999999</v>
      </c>
      <c r="L99" s="99">
        <f>D102</f>
        <v>9.2129999999999992</v>
      </c>
      <c r="M99" s="99"/>
      <c r="N99" s="100"/>
      <c r="O99" s="100">
        <f>D103</f>
        <v>1.4000000000000001</v>
      </c>
      <c r="P99" s="99">
        <f>E99</f>
        <v>4.9000000000000004</v>
      </c>
      <c r="Q99" s="99"/>
      <c r="R99" s="99"/>
      <c r="S99" s="99">
        <f>E100</f>
        <v>3.9</v>
      </c>
      <c r="T99" s="99">
        <f>E101</f>
        <v>3</v>
      </c>
      <c r="U99" s="99">
        <f>E102</f>
        <v>3.9</v>
      </c>
      <c r="V99" s="99"/>
      <c r="W99" s="100"/>
      <c r="X99" s="100">
        <f>E103</f>
        <v>4.9000000000000004</v>
      </c>
      <c r="Y99" s="99"/>
      <c r="Z99" s="99"/>
      <c r="AA99" s="99">
        <f>J99*S99+L99*U99</f>
        <v>71.861399999999989</v>
      </c>
      <c r="AB99" s="99">
        <f>K99*T99</f>
        <v>10.164</v>
      </c>
      <c r="AC99" s="100">
        <f>G99*P99+O99*X99</f>
        <v>13.720000000000002</v>
      </c>
      <c r="AD99" s="99">
        <f>Y99+Z99+AA99+AB99+AC99</f>
        <v>95.745399999999989</v>
      </c>
      <c r="AE99" s="99">
        <f>AD99-AC99</f>
        <v>82.025399999999991</v>
      </c>
    </row>
    <row r="100" spans="1:31" x14ac:dyDescent="0.35">
      <c r="B100" s="101"/>
      <c r="C100" s="102" t="s">
        <v>512</v>
      </c>
      <c r="D100" s="98">
        <v>9.2129999999999992</v>
      </c>
      <c r="E100" s="99">
        <v>3.9</v>
      </c>
      <c r="F100" s="100">
        <f>D100*E100</f>
        <v>35.930699999999995</v>
      </c>
      <c r="G100" s="103"/>
      <c r="H100" s="104"/>
      <c r="I100" s="104"/>
      <c r="J100" s="104"/>
      <c r="K100" s="104"/>
      <c r="L100" s="104"/>
      <c r="M100" s="104"/>
      <c r="N100" s="104"/>
      <c r="O100" s="104"/>
      <c r="P100" s="101"/>
      <c r="Q100" s="104"/>
      <c r="R100" s="104"/>
      <c r="S100" s="104"/>
      <c r="T100" s="104"/>
      <c r="U100" s="104"/>
      <c r="V100" s="104"/>
      <c r="W100" s="104"/>
      <c r="X100" s="104"/>
      <c r="Y100" s="101"/>
      <c r="Z100" s="104"/>
      <c r="AA100" s="104"/>
      <c r="AB100" s="104"/>
      <c r="AC100" s="104"/>
      <c r="AD100" s="101"/>
      <c r="AE100" s="105"/>
    </row>
    <row r="101" spans="1:31" x14ac:dyDescent="0.35">
      <c r="B101" s="106"/>
      <c r="C101" s="102" t="s">
        <v>504</v>
      </c>
      <c r="D101" s="98">
        <v>3.3879999999999999</v>
      </c>
      <c r="E101" s="99">
        <v>3</v>
      </c>
      <c r="F101" s="100">
        <f>D101*E101</f>
        <v>10.164</v>
      </c>
    </row>
    <row r="102" spans="1:31" x14ac:dyDescent="0.35">
      <c r="B102" s="106"/>
      <c r="C102" s="102" t="s">
        <v>513</v>
      </c>
      <c r="D102" s="98">
        <v>9.2129999999999992</v>
      </c>
      <c r="E102" s="99">
        <v>3.9</v>
      </c>
      <c r="F102" s="100">
        <f>D102*E102</f>
        <v>35.930699999999995</v>
      </c>
    </row>
    <row r="103" spans="1:31" x14ac:dyDescent="0.35">
      <c r="B103" s="106"/>
      <c r="C103" s="102" t="s">
        <v>514</v>
      </c>
      <c r="D103" s="98">
        <v>1.4000000000000001</v>
      </c>
      <c r="E103" s="99">
        <v>4.9000000000000004</v>
      </c>
      <c r="F103" s="100">
        <f>D103*E103</f>
        <v>6.8600000000000012</v>
      </c>
    </row>
    <row r="104" spans="1:31" x14ac:dyDescent="0.35">
      <c r="B104" s="106"/>
      <c r="C104" s="94" t="s">
        <v>491</v>
      </c>
      <c r="D104" s="95">
        <f>SUM(D99:D103)</f>
        <v>24.613999999999997</v>
      </c>
      <c r="E104" s="96"/>
      <c r="F104" s="97">
        <f>SUM(F99:F103)</f>
        <v>95.745399999999989</v>
      </c>
      <c r="I104" s="109"/>
      <c r="J104" s="109"/>
      <c r="K104" s="109"/>
      <c r="L104" s="109"/>
      <c r="M104" s="109"/>
      <c r="N104" s="109"/>
      <c r="O104" s="109"/>
      <c r="P104" s="107"/>
      <c r="Q104" s="109"/>
      <c r="R104" s="109"/>
      <c r="S104" s="109"/>
      <c r="T104" s="109"/>
      <c r="U104" s="109"/>
      <c r="V104" s="109"/>
      <c r="W104" s="109"/>
      <c r="X104" s="109"/>
      <c r="Y104" s="107"/>
      <c r="Z104" s="109"/>
      <c r="AA104" s="109"/>
      <c r="AB104" s="109"/>
      <c r="AC104" s="109"/>
      <c r="AD104" s="107"/>
      <c r="AE104" s="110"/>
    </row>
    <row r="105" spans="1:31" x14ac:dyDescent="0.35">
      <c r="B105" s="93"/>
      <c r="C105" s="102" t="s">
        <v>492</v>
      </c>
      <c r="D105" s="98">
        <f>D104-D103</f>
        <v>23.213999999999999</v>
      </c>
      <c r="E105" s="99"/>
      <c r="F105" s="100">
        <f>F104-F103</f>
        <v>88.88539999999999</v>
      </c>
      <c r="G105" s="97"/>
      <c r="H105" s="111"/>
      <c r="I105" s="111"/>
      <c r="J105" s="111"/>
      <c r="K105" s="111"/>
      <c r="L105" s="111"/>
      <c r="M105" s="111"/>
      <c r="N105" s="111"/>
      <c r="O105" s="111"/>
      <c r="P105" s="93"/>
      <c r="Q105" s="111"/>
      <c r="R105" s="111"/>
      <c r="S105" s="111"/>
      <c r="T105" s="111"/>
      <c r="U105" s="111"/>
      <c r="V105" s="111"/>
      <c r="W105" s="111"/>
      <c r="X105" s="111"/>
      <c r="Y105" s="93"/>
      <c r="Z105" s="111"/>
      <c r="AA105" s="111"/>
      <c r="AB105" s="111"/>
      <c r="AC105" s="111"/>
      <c r="AD105" s="93"/>
      <c r="AE105" s="112"/>
    </row>
    <row r="106" spans="1:31" x14ac:dyDescent="0.35">
      <c r="A106" s="22">
        <v>17</v>
      </c>
      <c r="B106" s="93" t="s">
        <v>518</v>
      </c>
      <c r="C106" s="94" t="s">
        <v>511</v>
      </c>
      <c r="D106" s="95">
        <v>1.4000000000000001</v>
      </c>
      <c r="E106" s="96">
        <v>4.9000000000000004</v>
      </c>
      <c r="F106" s="97">
        <f>D106*E106</f>
        <v>6.8600000000000012</v>
      </c>
      <c r="G106" s="97">
        <f>D106</f>
        <v>1.4000000000000001</v>
      </c>
      <c r="H106" s="98"/>
      <c r="I106" s="99"/>
      <c r="J106" s="99">
        <f>D107</f>
        <v>14.303000000000001</v>
      </c>
      <c r="K106" s="99">
        <f>D108</f>
        <v>6.1859999999999999</v>
      </c>
      <c r="L106" s="99">
        <f>D109</f>
        <v>14.303000000000001</v>
      </c>
      <c r="M106" s="99"/>
      <c r="N106" s="100"/>
      <c r="O106" s="100">
        <f>D110</f>
        <v>1.4000000000000001</v>
      </c>
      <c r="P106" s="99">
        <f>E106</f>
        <v>4.9000000000000004</v>
      </c>
      <c r="Q106" s="99"/>
      <c r="R106" s="99"/>
      <c r="S106" s="99">
        <f>E107</f>
        <v>3.85</v>
      </c>
      <c r="T106" s="99">
        <f>E108</f>
        <v>2.9</v>
      </c>
      <c r="U106" s="99">
        <f>E109</f>
        <v>3.85</v>
      </c>
      <c r="V106" s="99"/>
      <c r="W106" s="100"/>
      <c r="X106" s="100">
        <f>E110</f>
        <v>4.9000000000000004</v>
      </c>
      <c r="Y106" s="99"/>
      <c r="Z106" s="99"/>
      <c r="AA106" s="99">
        <f>J106*S106+L106*U106</f>
        <v>110.13310000000001</v>
      </c>
      <c r="AB106" s="99">
        <f>K106*T106</f>
        <v>17.939399999999999</v>
      </c>
      <c r="AC106" s="100">
        <f>G106*P106+O106*X106</f>
        <v>13.720000000000002</v>
      </c>
      <c r="AD106" s="99">
        <f>Y106+Z106+AA106+AB106+AC106</f>
        <v>141.79250000000002</v>
      </c>
      <c r="AE106" s="99">
        <f>AD106-AC106</f>
        <v>128.07250000000002</v>
      </c>
    </row>
    <row r="107" spans="1:31" x14ac:dyDescent="0.35">
      <c r="B107" s="101"/>
      <c r="C107" s="102" t="s">
        <v>512</v>
      </c>
      <c r="D107" s="98">
        <v>14.303000000000001</v>
      </c>
      <c r="E107" s="99">
        <v>3.85</v>
      </c>
      <c r="F107" s="100">
        <f>D107*E107</f>
        <v>55.066550000000007</v>
      </c>
      <c r="G107" s="103"/>
      <c r="H107" s="104"/>
      <c r="I107" s="104"/>
      <c r="J107" s="104"/>
      <c r="K107" s="104"/>
      <c r="L107" s="104"/>
      <c r="M107" s="104"/>
      <c r="N107" s="104"/>
      <c r="O107" s="104"/>
      <c r="P107" s="101"/>
      <c r="Q107" s="104"/>
      <c r="R107" s="104"/>
      <c r="S107" s="104"/>
      <c r="T107" s="104"/>
      <c r="U107" s="104"/>
      <c r="V107" s="104"/>
      <c r="W107" s="104"/>
      <c r="X107" s="104"/>
      <c r="Y107" s="101"/>
      <c r="Z107" s="104"/>
      <c r="AA107" s="104"/>
      <c r="AB107" s="104"/>
      <c r="AC107" s="104"/>
      <c r="AD107" s="101"/>
      <c r="AE107" s="105"/>
    </row>
    <row r="108" spans="1:31" x14ac:dyDescent="0.35">
      <c r="B108" s="106"/>
      <c r="C108" s="102" t="s">
        <v>504</v>
      </c>
      <c r="D108" s="98">
        <v>6.1859999999999999</v>
      </c>
      <c r="E108" s="99">
        <v>2.9</v>
      </c>
      <c r="F108" s="100">
        <f>D108*E108</f>
        <v>17.939399999999999</v>
      </c>
    </row>
    <row r="109" spans="1:31" x14ac:dyDescent="0.35">
      <c r="B109" s="106"/>
      <c r="C109" s="102" t="s">
        <v>513</v>
      </c>
      <c r="D109" s="98">
        <v>14.303000000000001</v>
      </c>
      <c r="E109" s="99">
        <v>3.85</v>
      </c>
      <c r="F109" s="100">
        <f>D109*E109</f>
        <v>55.066550000000007</v>
      </c>
    </row>
    <row r="110" spans="1:31" x14ac:dyDescent="0.35">
      <c r="B110" s="106"/>
      <c r="C110" s="102" t="s">
        <v>514</v>
      </c>
      <c r="D110" s="98">
        <v>1.4000000000000001</v>
      </c>
      <c r="E110" s="99">
        <v>4.9000000000000004</v>
      </c>
      <c r="F110" s="100">
        <f>D110*E110</f>
        <v>6.8600000000000012</v>
      </c>
    </row>
    <row r="111" spans="1:31" x14ac:dyDescent="0.35">
      <c r="B111" s="106"/>
      <c r="C111" s="94" t="s">
        <v>491</v>
      </c>
      <c r="D111" s="95">
        <f>SUM(D106:D110)</f>
        <v>37.592000000000006</v>
      </c>
      <c r="E111" s="96"/>
      <c r="F111" s="97">
        <f>SUM(F106:F110)</f>
        <v>141.79250000000002</v>
      </c>
      <c r="I111" s="109"/>
      <c r="J111" s="109"/>
      <c r="K111" s="109"/>
      <c r="L111" s="109"/>
      <c r="M111" s="109"/>
      <c r="N111" s="109"/>
      <c r="O111" s="109"/>
      <c r="P111" s="107"/>
      <c r="Q111" s="109"/>
      <c r="R111" s="109"/>
      <c r="S111" s="109"/>
      <c r="T111" s="109"/>
      <c r="U111" s="109"/>
      <c r="V111" s="109"/>
      <c r="W111" s="109"/>
      <c r="X111" s="109"/>
      <c r="Y111" s="107"/>
      <c r="Z111" s="109"/>
      <c r="AA111" s="109"/>
      <c r="AB111" s="109"/>
      <c r="AC111" s="109"/>
      <c r="AD111" s="107"/>
      <c r="AE111" s="110"/>
    </row>
    <row r="112" spans="1:31" x14ac:dyDescent="0.35">
      <c r="B112" s="93"/>
      <c r="C112" s="102" t="s">
        <v>492</v>
      </c>
      <c r="D112" s="98">
        <f>D111-D110</f>
        <v>36.192000000000007</v>
      </c>
      <c r="E112" s="99"/>
      <c r="F112" s="100">
        <f>F111-F110</f>
        <v>134.9325</v>
      </c>
      <c r="G112" s="97"/>
      <c r="H112" s="111"/>
      <c r="I112" s="111"/>
      <c r="J112" s="111"/>
      <c r="K112" s="111"/>
      <c r="L112" s="111"/>
      <c r="M112" s="111"/>
      <c r="N112" s="111"/>
      <c r="O112" s="111"/>
      <c r="P112" s="93"/>
      <c r="Q112" s="111"/>
      <c r="R112" s="111"/>
      <c r="S112" s="111"/>
      <c r="T112" s="111"/>
      <c r="U112" s="111"/>
      <c r="V112" s="111"/>
      <c r="W112" s="111"/>
      <c r="X112" s="111"/>
      <c r="Y112" s="93"/>
      <c r="Z112" s="111"/>
      <c r="AA112" s="111"/>
      <c r="AB112" s="111"/>
      <c r="AC112" s="111"/>
      <c r="AD112" s="93"/>
      <c r="AE112" s="112"/>
    </row>
    <row r="113" spans="1:31" x14ac:dyDescent="0.35">
      <c r="A113" s="22">
        <v>18</v>
      </c>
      <c r="B113" s="93" t="s">
        <v>519</v>
      </c>
      <c r="C113" s="94" t="s">
        <v>13</v>
      </c>
      <c r="D113" s="95">
        <v>1.4000000000000001</v>
      </c>
      <c r="E113" s="96">
        <v>4.9000000000000004</v>
      </c>
      <c r="F113" s="97">
        <f t="shared" ref="F113:F119" si="1">D113*E113</f>
        <v>6.8600000000000012</v>
      </c>
      <c r="G113" s="99">
        <f>D113</f>
        <v>1.4000000000000001</v>
      </c>
      <c r="H113" s="98"/>
      <c r="I113" s="99">
        <f>D115</f>
        <v>6.8479999999999999</v>
      </c>
      <c r="J113" s="99">
        <f>D114</f>
        <v>9.9120000000000008</v>
      </c>
      <c r="K113" s="99">
        <f>D116</f>
        <v>3.504</v>
      </c>
      <c r="L113" s="99">
        <f>D118</f>
        <v>9.9120000000000008</v>
      </c>
      <c r="M113" s="99">
        <f>D117</f>
        <v>6.8479999999999999</v>
      </c>
      <c r="N113" s="100"/>
      <c r="O113" s="100">
        <f>D119</f>
        <v>1.4000000000000001</v>
      </c>
      <c r="P113" s="99">
        <f>E113</f>
        <v>4.9000000000000004</v>
      </c>
      <c r="Q113" s="99"/>
      <c r="R113" s="99">
        <f>E115</f>
        <v>3.3000000000000003</v>
      </c>
      <c r="S113" s="99">
        <f>E114</f>
        <v>4.2</v>
      </c>
      <c r="T113" s="99">
        <f>E116</f>
        <v>3</v>
      </c>
      <c r="U113" s="99">
        <f>E118</f>
        <v>4.2</v>
      </c>
      <c r="V113" s="99">
        <f>E117</f>
        <v>3.3000000000000003</v>
      </c>
      <c r="W113" s="100"/>
      <c r="X113" s="100">
        <f>E119</f>
        <v>4.9000000000000004</v>
      </c>
      <c r="Y113" s="99"/>
      <c r="Z113" s="99">
        <f>2 *I113*R113</f>
        <v>45.196800000000003</v>
      </c>
      <c r="AA113" s="99">
        <f>2 *J113*S113</f>
        <v>83.260800000000003</v>
      </c>
      <c r="AB113" s="99">
        <f>K113*T113</f>
        <v>10.512</v>
      </c>
      <c r="AC113" s="100">
        <f>2 *O113*X113</f>
        <v>13.720000000000002</v>
      </c>
      <c r="AD113" s="99">
        <f>Y113+Z113+AA113+AB113+AC113</f>
        <v>152.68960000000001</v>
      </c>
      <c r="AE113" s="99">
        <f>AD113-AC113</f>
        <v>138.96960000000001</v>
      </c>
    </row>
    <row r="114" spans="1:31" x14ac:dyDescent="0.35">
      <c r="B114" s="106"/>
      <c r="C114" s="113" t="s">
        <v>12</v>
      </c>
      <c r="D114" s="95">
        <v>9.9120000000000008</v>
      </c>
      <c r="E114" s="96">
        <v>4.2</v>
      </c>
      <c r="F114" s="97">
        <f t="shared" si="1"/>
        <v>41.630400000000002</v>
      </c>
      <c r="H114" s="109"/>
      <c r="I114" s="109"/>
      <c r="J114" s="109"/>
      <c r="K114" s="109"/>
      <c r="L114" s="109"/>
      <c r="M114" s="109"/>
      <c r="N114" s="109"/>
      <c r="O114" s="109"/>
      <c r="P114" s="107"/>
      <c r="Q114" s="109"/>
      <c r="R114" s="109"/>
      <c r="S114" s="109"/>
      <c r="T114" s="109"/>
      <c r="U114" s="109"/>
      <c r="V114" s="109"/>
      <c r="W114" s="109"/>
      <c r="X114" s="109"/>
      <c r="Y114" s="107"/>
      <c r="Z114" s="109"/>
      <c r="AA114" s="109"/>
      <c r="AB114" s="109"/>
      <c r="AC114" s="109"/>
      <c r="AD114" s="107"/>
      <c r="AE114" s="110"/>
    </row>
    <row r="115" spans="1:31" x14ac:dyDescent="0.35">
      <c r="B115" s="106"/>
      <c r="C115" s="102" t="s">
        <v>503</v>
      </c>
      <c r="D115" s="95">
        <v>6.8479999999999999</v>
      </c>
      <c r="E115" s="96">
        <v>3.3000000000000003</v>
      </c>
      <c r="F115" s="97">
        <f t="shared" si="1"/>
        <v>22.598400000000002</v>
      </c>
      <c r="H115" s="109"/>
      <c r="I115" s="109"/>
      <c r="J115" s="109"/>
      <c r="K115" s="109"/>
      <c r="L115" s="109"/>
      <c r="M115" s="109"/>
      <c r="N115" s="109"/>
      <c r="O115" s="109"/>
      <c r="P115" s="107"/>
      <c r="Q115" s="109"/>
      <c r="R115" s="109"/>
      <c r="S115" s="109"/>
      <c r="T115" s="109"/>
      <c r="U115" s="109"/>
      <c r="V115" s="109"/>
      <c r="W115" s="109"/>
      <c r="X115" s="109"/>
      <c r="Y115" s="107"/>
      <c r="Z115" s="109"/>
      <c r="AA115" s="109"/>
      <c r="AB115" s="109"/>
      <c r="AC115" s="109"/>
      <c r="AD115" s="107"/>
      <c r="AE115" s="110"/>
    </row>
    <row r="116" spans="1:31" x14ac:dyDescent="0.35">
      <c r="B116" s="106"/>
      <c r="C116" s="102" t="s">
        <v>504</v>
      </c>
      <c r="D116" s="95">
        <v>3.504</v>
      </c>
      <c r="E116" s="96">
        <v>3</v>
      </c>
      <c r="F116" s="97">
        <f t="shared" si="1"/>
        <v>10.512</v>
      </c>
      <c r="H116" s="109"/>
      <c r="I116" s="109"/>
      <c r="J116" s="109"/>
      <c r="K116" s="109"/>
      <c r="L116" s="109"/>
      <c r="M116" s="109"/>
      <c r="N116" s="109"/>
      <c r="O116" s="109"/>
      <c r="P116" s="107"/>
      <c r="Q116" s="109"/>
      <c r="R116" s="109"/>
      <c r="S116" s="109"/>
      <c r="T116" s="109"/>
      <c r="U116" s="109"/>
      <c r="V116" s="109"/>
      <c r="W116" s="109"/>
      <c r="X116" s="109"/>
      <c r="Y116" s="107"/>
      <c r="Z116" s="109"/>
      <c r="AA116" s="109"/>
      <c r="AB116" s="109"/>
      <c r="AC116" s="109"/>
      <c r="AD116" s="107"/>
      <c r="AE116" s="110"/>
    </row>
    <row r="117" spans="1:31" x14ac:dyDescent="0.35">
      <c r="B117" s="101"/>
      <c r="C117" s="102" t="s">
        <v>503</v>
      </c>
      <c r="D117" s="98">
        <v>6.8479999999999999</v>
      </c>
      <c r="E117" s="99">
        <v>3.3000000000000003</v>
      </c>
      <c r="F117" s="100">
        <f t="shared" si="1"/>
        <v>22.598400000000002</v>
      </c>
      <c r="G117" s="103"/>
      <c r="H117" s="104"/>
      <c r="I117" s="104"/>
      <c r="J117" s="104"/>
      <c r="K117" s="104"/>
      <c r="L117" s="104"/>
      <c r="M117" s="104"/>
      <c r="N117" s="104"/>
      <c r="O117" s="104"/>
      <c r="P117" s="101"/>
      <c r="Q117" s="104"/>
      <c r="R117" s="104"/>
      <c r="S117" s="104"/>
      <c r="T117" s="104"/>
      <c r="U117" s="104"/>
      <c r="V117" s="104"/>
      <c r="W117" s="104"/>
      <c r="X117" s="104"/>
      <c r="Y117" s="101"/>
      <c r="Z117" s="104"/>
      <c r="AA117" s="104"/>
      <c r="AB117" s="104"/>
      <c r="AC117" s="104"/>
      <c r="AD117" s="101"/>
      <c r="AE117" s="105"/>
    </row>
    <row r="118" spans="1:31" x14ac:dyDescent="0.35">
      <c r="B118" s="106"/>
      <c r="C118" s="113" t="s">
        <v>12</v>
      </c>
      <c r="D118" s="98">
        <v>9.9120000000000008</v>
      </c>
      <c r="E118" s="99">
        <v>4.2</v>
      </c>
      <c r="F118" s="100">
        <f t="shared" si="1"/>
        <v>41.630400000000002</v>
      </c>
    </row>
    <row r="119" spans="1:31" x14ac:dyDescent="0.35">
      <c r="B119" s="106"/>
      <c r="C119" s="102" t="s">
        <v>13</v>
      </c>
      <c r="D119" s="98">
        <v>1.4000000000000001</v>
      </c>
      <c r="E119" s="99">
        <v>4.9000000000000004</v>
      </c>
      <c r="F119" s="100">
        <f t="shared" si="1"/>
        <v>6.8600000000000012</v>
      </c>
    </row>
    <row r="120" spans="1:31" x14ac:dyDescent="0.35">
      <c r="B120" s="106"/>
      <c r="C120" s="94" t="s">
        <v>491</v>
      </c>
      <c r="D120" s="95">
        <f>SUM(D113:D119)</f>
        <v>39.823999999999998</v>
      </c>
      <c r="E120" s="96"/>
      <c r="F120" s="97">
        <f>SUM(F113:F119)</f>
        <v>152.68960000000001</v>
      </c>
      <c r="I120" s="109"/>
      <c r="J120" s="109"/>
      <c r="K120" s="109"/>
      <c r="L120" s="109"/>
      <c r="M120" s="109"/>
      <c r="N120" s="109"/>
      <c r="O120" s="109"/>
      <c r="P120" s="107"/>
      <c r="Q120" s="109"/>
      <c r="R120" s="109"/>
      <c r="S120" s="109"/>
      <c r="T120" s="109"/>
      <c r="U120" s="109"/>
      <c r="V120" s="109"/>
      <c r="W120" s="109"/>
      <c r="X120" s="109"/>
      <c r="Y120" s="107"/>
      <c r="Z120" s="109"/>
      <c r="AA120" s="109"/>
      <c r="AB120" s="109"/>
      <c r="AC120" s="109"/>
      <c r="AD120" s="107"/>
      <c r="AE120" s="110"/>
    </row>
    <row r="121" spans="1:31" x14ac:dyDescent="0.35">
      <c r="B121" s="93"/>
      <c r="C121" s="102" t="s">
        <v>492</v>
      </c>
      <c r="D121" s="98">
        <f>D120-D119</f>
        <v>38.423999999999999</v>
      </c>
      <c r="E121" s="99"/>
      <c r="F121" s="100">
        <f>F120-F119-F113</f>
        <v>138.96959999999999</v>
      </c>
      <c r="G121" s="97"/>
      <c r="H121" s="111"/>
      <c r="I121" s="111"/>
      <c r="J121" s="111"/>
      <c r="K121" s="111"/>
      <c r="L121" s="111"/>
      <c r="M121" s="111"/>
      <c r="N121" s="111"/>
      <c r="O121" s="111"/>
      <c r="P121" s="93"/>
      <c r="Q121" s="111"/>
      <c r="R121" s="111"/>
      <c r="S121" s="111"/>
      <c r="T121" s="111"/>
      <c r="U121" s="111"/>
      <c r="V121" s="111"/>
      <c r="W121" s="111"/>
      <c r="X121" s="111"/>
      <c r="Y121" s="93"/>
      <c r="Z121" s="111"/>
      <c r="AA121" s="111"/>
      <c r="AB121" s="111"/>
      <c r="AC121" s="111"/>
      <c r="AD121" s="93"/>
      <c r="AE121" s="112"/>
    </row>
    <row r="122" spans="1:31" x14ac:dyDescent="0.35">
      <c r="A122" s="22">
        <v>19</v>
      </c>
      <c r="B122" s="93" t="s">
        <v>520</v>
      </c>
      <c r="C122" s="94" t="s">
        <v>13</v>
      </c>
      <c r="D122" s="95">
        <v>7.0110000000000001</v>
      </c>
      <c r="E122" s="96">
        <v>4.6000000000000005</v>
      </c>
      <c r="F122" s="97">
        <f t="shared" ref="F122:F128" si="2">D122*E122</f>
        <v>32.250600000000006</v>
      </c>
      <c r="G122" s="99">
        <f>D122</f>
        <v>7.0110000000000001</v>
      </c>
      <c r="H122" s="98"/>
      <c r="I122" s="99">
        <f>D124</f>
        <v>7.3310000000000004</v>
      </c>
      <c r="J122" s="99">
        <f>D123</f>
        <v>6.0119999999999996</v>
      </c>
      <c r="K122" s="99">
        <f>D125</f>
        <v>6.42</v>
      </c>
      <c r="L122" s="99">
        <f>D127</f>
        <v>6.0119999999999996</v>
      </c>
      <c r="M122" s="99">
        <f>D126</f>
        <v>7.3310000000000004</v>
      </c>
      <c r="N122" s="100"/>
      <c r="O122" s="100">
        <f>D128</f>
        <v>7.0110000000000001</v>
      </c>
      <c r="P122" s="99">
        <f>E122</f>
        <v>4.6000000000000005</v>
      </c>
      <c r="Q122" s="99"/>
      <c r="R122" s="99">
        <f>E124</f>
        <v>3.2</v>
      </c>
      <c r="S122" s="99">
        <f>E123</f>
        <v>3.8519999999999999</v>
      </c>
      <c r="T122" s="99">
        <f>E125</f>
        <v>2.9</v>
      </c>
      <c r="U122" s="99">
        <f>E127</f>
        <v>3.85</v>
      </c>
      <c r="V122" s="99">
        <f>E126</f>
        <v>3.2</v>
      </c>
      <c r="W122" s="100"/>
      <c r="X122" s="100">
        <f>E128</f>
        <v>4.6000000000000005</v>
      </c>
      <c r="Y122" s="99"/>
      <c r="Z122" s="99">
        <f>2 *I122*R122</f>
        <v>46.918400000000005</v>
      </c>
      <c r="AA122" s="99">
        <f>2 *J122*S122</f>
        <v>46.316447999999994</v>
      </c>
      <c r="AB122" s="99">
        <f>K122*T122</f>
        <v>18.617999999999999</v>
      </c>
      <c r="AC122" s="100">
        <f>2 *O122*X122</f>
        <v>64.501200000000011</v>
      </c>
      <c r="AD122" s="99">
        <f>Y122+Z122+AA122+AB122+AC122</f>
        <v>176.35404800000001</v>
      </c>
      <c r="AE122" s="99">
        <f>AD122-AC122</f>
        <v>111.85284799999999</v>
      </c>
    </row>
    <row r="123" spans="1:31" x14ac:dyDescent="0.35">
      <c r="B123" s="101"/>
      <c r="C123" s="113" t="s">
        <v>12</v>
      </c>
      <c r="D123" s="98">
        <v>6.0119999999999996</v>
      </c>
      <c r="E123" s="99">
        <v>3.8519999999999999</v>
      </c>
      <c r="F123" s="100">
        <f t="shared" si="2"/>
        <v>23.158223999999997</v>
      </c>
      <c r="G123" s="103"/>
      <c r="H123" s="104"/>
      <c r="I123" s="104"/>
      <c r="J123" s="104"/>
      <c r="K123" s="104"/>
      <c r="L123" s="104"/>
      <c r="M123" s="104"/>
      <c r="N123" s="104"/>
      <c r="O123" s="104"/>
      <c r="P123" s="101"/>
      <c r="Q123" s="104"/>
      <c r="R123" s="104"/>
      <c r="S123" s="104"/>
      <c r="T123" s="104"/>
      <c r="U123" s="104"/>
      <c r="V123" s="104"/>
      <c r="W123" s="104"/>
      <c r="X123" s="104"/>
      <c r="Y123" s="101"/>
      <c r="Z123" s="104"/>
      <c r="AA123" s="104"/>
      <c r="AB123" s="104"/>
      <c r="AC123" s="104"/>
      <c r="AD123" s="101"/>
      <c r="AE123" s="105"/>
    </row>
    <row r="124" spans="1:31" x14ac:dyDescent="0.35">
      <c r="B124" s="106"/>
      <c r="C124" s="102" t="s">
        <v>503</v>
      </c>
      <c r="D124" s="98">
        <v>7.3310000000000004</v>
      </c>
      <c r="E124" s="99">
        <v>3.2</v>
      </c>
      <c r="F124" s="100">
        <f t="shared" si="2"/>
        <v>23.459200000000003</v>
      </c>
    </row>
    <row r="125" spans="1:31" x14ac:dyDescent="0.35">
      <c r="B125" s="106"/>
      <c r="C125" s="102" t="s">
        <v>504</v>
      </c>
      <c r="D125" s="98">
        <v>6.42</v>
      </c>
      <c r="E125" s="99">
        <v>2.9</v>
      </c>
      <c r="F125" s="100">
        <f t="shared" si="2"/>
        <v>18.617999999999999</v>
      </c>
    </row>
    <row r="126" spans="1:31" x14ac:dyDescent="0.35">
      <c r="B126" s="106"/>
      <c r="C126" s="102" t="s">
        <v>503</v>
      </c>
      <c r="D126" s="98">
        <v>7.3310000000000004</v>
      </c>
      <c r="E126" s="99">
        <v>3.2</v>
      </c>
      <c r="F126" s="100">
        <f t="shared" si="2"/>
        <v>23.459200000000003</v>
      </c>
    </row>
    <row r="127" spans="1:31" x14ac:dyDescent="0.35">
      <c r="B127" s="106"/>
      <c r="C127" s="113" t="s">
        <v>12</v>
      </c>
      <c r="D127" s="98">
        <v>6.0119999999999996</v>
      </c>
      <c r="E127" s="99">
        <v>3.85</v>
      </c>
      <c r="F127" s="100">
        <f t="shared" si="2"/>
        <v>23.1462</v>
      </c>
    </row>
    <row r="128" spans="1:31" x14ac:dyDescent="0.35">
      <c r="B128" s="106"/>
      <c r="C128" s="102" t="s">
        <v>13</v>
      </c>
      <c r="D128" s="98">
        <v>7.0110000000000001</v>
      </c>
      <c r="E128" s="99">
        <v>4.6000000000000005</v>
      </c>
      <c r="F128" s="100">
        <f t="shared" si="2"/>
        <v>32.250600000000006</v>
      </c>
    </row>
    <row r="129" spans="1:31" x14ac:dyDescent="0.35">
      <c r="B129" s="106"/>
      <c r="C129" s="94" t="s">
        <v>491</v>
      </c>
      <c r="D129" s="95">
        <f>SUM(D122:D128)</f>
        <v>47.128000000000007</v>
      </c>
      <c r="E129" s="96"/>
      <c r="F129" s="97">
        <f>SUM(F122:F128)</f>
        <v>176.34202399999998</v>
      </c>
      <c r="I129" s="109"/>
      <c r="J129" s="109"/>
      <c r="K129" s="109"/>
      <c r="L129" s="109"/>
      <c r="M129" s="109"/>
      <c r="N129" s="109"/>
      <c r="O129" s="109"/>
      <c r="P129" s="107"/>
      <c r="Q129" s="109"/>
      <c r="R129" s="109"/>
      <c r="S129" s="109"/>
      <c r="T129" s="109"/>
      <c r="U129" s="109"/>
      <c r="V129" s="109"/>
      <c r="W129" s="109"/>
      <c r="X129" s="109"/>
      <c r="Y129" s="107"/>
      <c r="Z129" s="109"/>
      <c r="AA129" s="109"/>
      <c r="AB129" s="109"/>
      <c r="AC129" s="109"/>
      <c r="AD129" s="107"/>
      <c r="AE129" s="110"/>
    </row>
    <row r="130" spans="1:31" x14ac:dyDescent="0.35">
      <c r="B130" s="93"/>
      <c r="C130" s="102" t="s">
        <v>492</v>
      </c>
      <c r="D130" s="98">
        <f>D129-D128</f>
        <v>40.117000000000004</v>
      </c>
      <c r="E130" s="99"/>
      <c r="F130" s="100">
        <f>F129-F128-F122</f>
        <v>111.84082399999996</v>
      </c>
      <c r="G130" s="97"/>
      <c r="H130" s="111"/>
      <c r="I130" s="111"/>
      <c r="J130" s="111"/>
      <c r="K130" s="111"/>
      <c r="L130" s="111"/>
      <c r="M130" s="111"/>
      <c r="N130" s="111"/>
      <c r="O130" s="111"/>
      <c r="P130" s="93"/>
      <c r="Q130" s="111"/>
      <c r="R130" s="111"/>
      <c r="S130" s="111"/>
      <c r="T130" s="111"/>
      <c r="U130" s="111"/>
      <c r="V130" s="111"/>
      <c r="W130" s="111"/>
      <c r="X130" s="111"/>
      <c r="Y130" s="93"/>
      <c r="Z130" s="111"/>
      <c r="AA130" s="111"/>
      <c r="AB130" s="111"/>
      <c r="AC130" s="111"/>
      <c r="AD130" s="93"/>
      <c r="AE130" s="112"/>
    </row>
    <row r="131" spans="1:31" x14ac:dyDescent="0.35">
      <c r="A131" s="22">
        <v>20</v>
      </c>
      <c r="B131" s="93" t="s">
        <v>521</v>
      </c>
      <c r="C131" s="94" t="s">
        <v>13</v>
      </c>
      <c r="D131" s="95">
        <v>12.372999999999999</v>
      </c>
      <c r="E131" s="96">
        <v>4.55</v>
      </c>
      <c r="F131" s="97">
        <f>D131*E131</f>
        <v>56.297149999999995</v>
      </c>
      <c r="G131" s="97">
        <f>D131</f>
        <v>12.372999999999999</v>
      </c>
      <c r="H131" s="98"/>
      <c r="I131" s="99"/>
      <c r="J131" s="99">
        <f>D132</f>
        <v>8.7569999999999997</v>
      </c>
      <c r="K131" s="99">
        <f>D133</f>
        <v>31.560000000000002</v>
      </c>
      <c r="L131" s="99">
        <f>D134</f>
        <v>8.7569999999999997</v>
      </c>
      <c r="M131" s="99"/>
      <c r="N131" s="100"/>
      <c r="O131" s="100">
        <f>D135</f>
        <v>12.372999999999999</v>
      </c>
      <c r="P131" s="99">
        <f>E131</f>
        <v>4.55</v>
      </c>
      <c r="Q131" s="99"/>
      <c r="R131" s="99"/>
      <c r="S131" s="99">
        <f>E132</f>
        <v>3.65</v>
      </c>
      <c r="T131" s="99">
        <f>E133</f>
        <v>2.85</v>
      </c>
      <c r="U131" s="99">
        <f>E134</f>
        <v>3.65</v>
      </c>
      <c r="V131" s="99"/>
      <c r="W131" s="100"/>
      <c r="X131" s="100">
        <f>E135</f>
        <v>4.55</v>
      </c>
      <c r="Y131" s="99"/>
      <c r="Z131" s="99"/>
      <c r="AA131" s="99">
        <f>J131*S131+L131*U131</f>
        <v>63.926099999999998</v>
      </c>
      <c r="AB131" s="99">
        <f>K131*T131</f>
        <v>89.946000000000012</v>
      </c>
      <c r="AC131" s="100">
        <f>G131*P131+O131*X131</f>
        <v>112.59429999999999</v>
      </c>
      <c r="AD131" s="99">
        <f>Y131+Z131+AA131+AB131+AC131</f>
        <v>266.46640000000002</v>
      </c>
      <c r="AE131" s="99">
        <f>AD131-AC131</f>
        <v>153.87210000000005</v>
      </c>
    </row>
    <row r="132" spans="1:31" x14ac:dyDescent="0.35">
      <c r="B132" s="101"/>
      <c r="C132" s="113" t="s">
        <v>12</v>
      </c>
      <c r="D132" s="98">
        <v>8.7569999999999997</v>
      </c>
      <c r="E132" s="99">
        <v>3.65</v>
      </c>
      <c r="F132" s="100">
        <f>D132*E132</f>
        <v>31.963049999999999</v>
      </c>
      <c r="G132" s="103"/>
      <c r="H132" s="104"/>
      <c r="I132" s="104"/>
      <c r="J132" s="104"/>
      <c r="K132" s="104"/>
      <c r="L132" s="104"/>
      <c r="M132" s="104"/>
      <c r="N132" s="104"/>
      <c r="O132" s="104"/>
      <c r="P132" s="101"/>
      <c r="Q132" s="104"/>
      <c r="R132" s="104"/>
      <c r="S132" s="104"/>
      <c r="T132" s="104"/>
      <c r="U132" s="104"/>
      <c r="V132" s="104"/>
      <c r="W132" s="104"/>
      <c r="X132" s="104"/>
      <c r="Y132" s="101"/>
      <c r="Z132" s="104"/>
      <c r="AA132" s="104"/>
      <c r="AB132" s="104"/>
      <c r="AC132" s="104"/>
      <c r="AD132" s="101"/>
      <c r="AE132" s="105"/>
    </row>
    <row r="133" spans="1:31" x14ac:dyDescent="0.35">
      <c r="B133" s="106"/>
      <c r="C133" s="102" t="s">
        <v>504</v>
      </c>
      <c r="D133" s="98">
        <v>31.560000000000002</v>
      </c>
      <c r="E133" s="99">
        <v>2.85</v>
      </c>
      <c r="F133" s="100">
        <f>D133*E133</f>
        <v>89.946000000000012</v>
      </c>
    </row>
    <row r="134" spans="1:31" x14ac:dyDescent="0.35">
      <c r="B134" s="106"/>
      <c r="C134" s="113" t="s">
        <v>12</v>
      </c>
      <c r="D134" s="98">
        <v>8.7569999999999997</v>
      </c>
      <c r="E134" s="99">
        <v>3.65</v>
      </c>
      <c r="F134" s="100">
        <f>D134*E134</f>
        <v>31.963049999999999</v>
      </c>
    </row>
    <row r="135" spans="1:31" x14ac:dyDescent="0.35">
      <c r="B135" s="106"/>
      <c r="C135" s="102" t="s">
        <v>13</v>
      </c>
      <c r="D135" s="98">
        <v>12.372999999999999</v>
      </c>
      <c r="E135" s="99">
        <v>4.55</v>
      </c>
      <c r="F135" s="100">
        <f>D135*E135</f>
        <v>56.297149999999995</v>
      </c>
    </row>
    <row r="136" spans="1:31" x14ac:dyDescent="0.35">
      <c r="B136" s="106"/>
      <c r="C136" s="94" t="s">
        <v>491</v>
      </c>
      <c r="D136" s="95">
        <f>SUM(D131:D135)</f>
        <v>73.819999999999993</v>
      </c>
      <c r="E136" s="96"/>
      <c r="F136" s="97">
        <f>SUM(F131:F135)</f>
        <v>266.46640000000002</v>
      </c>
      <c r="I136" s="109"/>
      <c r="J136" s="109"/>
      <c r="K136" s="109"/>
      <c r="L136" s="109"/>
      <c r="M136" s="109"/>
      <c r="N136" s="109"/>
      <c r="O136" s="109"/>
      <c r="P136" s="107"/>
      <c r="Q136" s="109"/>
      <c r="R136" s="109"/>
      <c r="S136" s="109"/>
      <c r="T136" s="109"/>
      <c r="U136" s="109"/>
      <c r="V136" s="109"/>
      <c r="W136" s="109"/>
      <c r="X136" s="109"/>
      <c r="Y136" s="107"/>
      <c r="Z136" s="109"/>
      <c r="AA136" s="109"/>
      <c r="AB136" s="109"/>
      <c r="AC136" s="109"/>
      <c r="AD136" s="107"/>
      <c r="AE136" s="110"/>
    </row>
    <row r="137" spans="1:31" x14ac:dyDescent="0.35">
      <c r="B137" s="93"/>
      <c r="C137" s="102" t="s">
        <v>492</v>
      </c>
      <c r="D137" s="98">
        <f>D136-D135</f>
        <v>61.446999999999996</v>
      </c>
      <c r="E137" s="99"/>
      <c r="F137" s="100">
        <f>F136-F135-F131</f>
        <v>153.87210000000005</v>
      </c>
      <c r="G137" s="97"/>
      <c r="H137" s="111"/>
      <c r="I137" s="111"/>
      <c r="J137" s="111"/>
      <c r="K137" s="111"/>
      <c r="L137" s="111"/>
      <c r="M137" s="111"/>
      <c r="N137" s="111"/>
      <c r="O137" s="111"/>
      <c r="P137" s="93"/>
      <c r="Q137" s="111"/>
      <c r="R137" s="111"/>
      <c r="S137" s="111"/>
      <c r="T137" s="111"/>
      <c r="U137" s="111"/>
      <c r="V137" s="111"/>
      <c r="W137" s="111"/>
      <c r="X137" s="111"/>
      <c r="Y137" s="93"/>
      <c r="Z137" s="111"/>
      <c r="AA137" s="111"/>
      <c r="AB137" s="111"/>
      <c r="AC137" s="111"/>
      <c r="AD137" s="93"/>
      <c r="AE137" s="112"/>
    </row>
    <row r="138" spans="1:31" x14ac:dyDescent="0.35">
      <c r="A138" s="22">
        <v>21</v>
      </c>
      <c r="B138" s="93" t="s">
        <v>522</v>
      </c>
      <c r="C138" s="94" t="s">
        <v>13</v>
      </c>
      <c r="D138" s="95">
        <v>7.0110000000000001</v>
      </c>
      <c r="E138" s="96">
        <v>4.6000000000000005</v>
      </c>
      <c r="F138" s="97">
        <f>D138*E138</f>
        <v>32.250600000000006</v>
      </c>
      <c r="G138" s="97">
        <f>D138</f>
        <v>7.0110000000000001</v>
      </c>
      <c r="H138" s="98"/>
      <c r="I138" s="99"/>
      <c r="J138" s="99">
        <f>D139</f>
        <v>6.0119999999999996</v>
      </c>
      <c r="K138" s="99">
        <f>D140</f>
        <v>21.082999999999998</v>
      </c>
      <c r="L138" s="99">
        <f>D141</f>
        <v>6.0119999999999996</v>
      </c>
      <c r="M138" s="99"/>
      <c r="N138" s="100"/>
      <c r="O138" s="100">
        <f>D142</f>
        <v>7.0110000000000001</v>
      </c>
      <c r="P138" s="99">
        <f>E138</f>
        <v>4.6000000000000005</v>
      </c>
      <c r="Q138" s="99"/>
      <c r="R138" s="99"/>
      <c r="S138" s="99">
        <f>E139</f>
        <v>3.9</v>
      </c>
      <c r="T138" s="99">
        <f>E140</f>
        <v>3.2</v>
      </c>
      <c r="U138" s="99">
        <f>E141</f>
        <v>3.9</v>
      </c>
      <c r="V138" s="99"/>
      <c r="W138" s="100"/>
      <c r="X138" s="100">
        <f>E142</f>
        <v>4.6000000000000005</v>
      </c>
      <c r="Y138" s="99"/>
      <c r="Z138" s="99"/>
      <c r="AA138" s="99">
        <f>J138*S138+L138*U138</f>
        <v>46.893599999999992</v>
      </c>
      <c r="AB138" s="99">
        <f>K138*T138</f>
        <v>67.465599999999995</v>
      </c>
      <c r="AC138" s="100">
        <f>G138*P138+O138*X138</f>
        <v>64.501200000000011</v>
      </c>
      <c r="AD138" s="99">
        <f>Y138+Z138+AA138+AB138+AC138</f>
        <v>178.8604</v>
      </c>
      <c r="AE138" s="99">
        <f>AD138-AC138</f>
        <v>114.35919999999999</v>
      </c>
    </row>
    <row r="139" spans="1:31" x14ac:dyDescent="0.35">
      <c r="B139" s="101"/>
      <c r="C139" s="113" t="s">
        <v>12</v>
      </c>
      <c r="D139" s="98">
        <v>6.0119999999999996</v>
      </c>
      <c r="E139" s="99">
        <v>3.9</v>
      </c>
      <c r="F139" s="100">
        <f>D139*E139</f>
        <v>23.446799999999996</v>
      </c>
      <c r="G139" s="103"/>
      <c r="H139" s="104"/>
      <c r="I139" s="104"/>
      <c r="J139" s="104"/>
      <c r="K139" s="104"/>
      <c r="L139" s="104"/>
      <c r="M139" s="104"/>
      <c r="N139" s="104"/>
      <c r="O139" s="104"/>
      <c r="P139" s="101"/>
      <c r="Q139" s="104"/>
      <c r="R139" s="104"/>
      <c r="S139" s="104"/>
      <c r="T139" s="104"/>
      <c r="U139" s="104"/>
      <c r="V139" s="104"/>
      <c r="W139" s="104"/>
      <c r="X139" s="104"/>
      <c r="Y139" s="101"/>
      <c r="Z139" s="104"/>
      <c r="AA139" s="104"/>
      <c r="AB139" s="104"/>
      <c r="AC139" s="104"/>
      <c r="AD139" s="101"/>
      <c r="AE139" s="105"/>
    </row>
    <row r="140" spans="1:31" x14ac:dyDescent="0.35">
      <c r="B140" s="106"/>
      <c r="C140" s="102" t="s">
        <v>523</v>
      </c>
      <c r="D140" s="98">
        <v>21.082999999999998</v>
      </c>
      <c r="E140" s="99">
        <v>3.2</v>
      </c>
      <c r="F140" s="100">
        <f>D140*E140</f>
        <v>67.465599999999995</v>
      </c>
    </row>
    <row r="141" spans="1:31" x14ac:dyDescent="0.35">
      <c r="B141" s="106"/>
      <c r="C141" s="113" t="s">
        <v>12</v>
      </c>
      <c r="D141" s="98">
        <v>6.0119999999999996</v>
      </c>
      <c r="E141" s="99">
        <v>3.9</v>
      </c>
      <c r="F141" s="100">
        <f>D141*E141</f>
        <v>23.446799999999996</v>
      </c>
    </row>
    <row r="142" spans="1:31" x14ac:dyDescent="0.35">
      <c r="B142" s="106"/>
      <c r="C142" s="102" t="s">
        <v>13</v>
      </c>
      <c r="D142" s="98">
        <v>7.0110000000000001</v>
      </c>
      <c r="E142" s="99">
        <v>4.6000000000000005</v>
      </c>
      <c r="F142" s="100">
        <f>D142*E142</f>
        <v>32.250600000000006</v>
      </c>
    </row>
    <row r="143" spans="1:31" x14ac:dyDescent="0.35">
      <c r="B143" s="106"/>
      <c r="C143" s="94" t="s">
        <v>491</v>
      </c>
      <c r="D143" s="95">
        <f>SUM(D138:D142)</f>
        <v>47.128999999999998</v>
      </c>
      <c r="E143" s="96"/>
      <c r="F143" s="97">
        <f>SUM(F138:F142)</f>
        <v>178.86040000000003</v>
      </c>
      <c r="I143" s="109"/>
      <c r="J143" s="109"/>
      <c r="K143" s="109"/>
      <c r="L143" s="109"/>
      <c r="M143" s="109"/>
      <c r="N143" s="109"/>
      <c r="O143" s="109"/>
      <c r="P143" s="107"/>
      <c r="Q143" s="109"/>
      <c r="R143" s="109"/>
      <c r="S143" s="109"/>
      <c r="T143" s="109"/>
      <c r="U143" s="109"/>
      <c r="V143" s="109"/>
      <c r="W143" s="109"/>
      <c r="X143" s="109"/>
      <c r="Y143" s="107"/>
      <c r="Z143" s="109"/>
      <c r="AA143" s="109"/>
      <c r="AB143" s="109"/>
      <c r="AC143" s="109"/>
      <c r="AD143" s="107"/>
      <c r="AE143" s="110"/>
    </row>
    <row r="144" spans="1:31" x14ac:dyDescent="0.35">
      <c r="B144" s="93"/>
      <c r="C144" s="102" t="s">
        <v>492</v>
      </c>
      <c r="D144" s="98">
        <f>D143-D142</f>
        <v>40.117999999999995</v>
      </c>
      <c r="E144" s="99"/>
      <c r="F144" s="100">
        <f>F143-F142-F138</f>
        <v>114.3592</v>
      </c>
      <c r="G144" s="97"/>
      <c r="H144" s="111"/>
      <c r="I144" s="111"/>
      <c r="J144" s="111"/>
      <c r="K144" s="111"/>
      <c r="L144" s="111"/>
      <c r="M144" s="111"/>
      <c r="N144" s="111"/>
      <c r="O144" s="111"/>
      <c r="P144" s="93"/>
      <c r="Q144" s="111"/>
      <c r="R144" s="111"/>
      <c r="S144" s="111"/>
      <c r="T144" s="111"/>
      <c r="U144" s="111"/>
      <c r="V144" s="111"/>
      <c r="W144" s="111"/>
      <c r="X144" s="111"/>
      <c r="Y144" s="93"/>
      <c r="Z144" s="111"/>
      <c r="AA144" s="111"/>
      <c r="AB144" s="111"/>
      <c r="AC144" s="111"/>
      <c r="AD144" s="93"/>
      <c r="AE144" s="112"/>
    </row>
    <row r="145" spans="1:31" x14ac:dyDescent="0.35">
      <c r="A145" s="22">
        <f>A138+1</f>
        <v>22</v>
      </c>
      <c r="B145" s="93" t="s">
        <v>524</v>
      </c>
      <c r="C145" s="94" t="s">
        <v>525</v>
      </c>
      <c r="D145" s="95">
        <v>1.93</v>
      </c>
      <c r="E145" s="96">
        <v>4.6000000000000005</v>
      </c>
      <c r="F145" s="97">
        <f>D145*E145</f>
        <v>8.8780000000000001</v>
      </c>
      <c r="G145" s="97">
        <f>D145</f>
        <v>1.93</v>
      </c>
      <c r="H145" s="98"/>
      <c r="I145" s="99"/>
      <c r="J145" s="99">
        <f>D146</f>
        <v>8.9130000000000003</v>
      </c>
      <c r="K145" s="99">
        <f>D147</f>
        <v>21.082999999999998</v>
      </c>
      <c r="L145" s="99">
        <f>D148</f>
        <v>6.0119999999999996</v>
      </c>
      <c r="M145" s="99"/>
      <c r="N145" s="100"/>
      <c r="O145" s="100">
        <f>D149</f>
        <v>7.0110000000000001</v>
      </c>
      <c r="P145" s="99">
        <f>E145</f>
        <v>4.6000000000000005</v>
      </c>
      <c r="Q145" s="99"/>
      <c r="R145" s="99"/>
      <c r="S145" s="99">
        <f>E146</f>
        <v>4.05</v>
      </c>
      <c r="T145" s="99">
        <f>E147</f>
        <v>3.2</v>
      </c>
      <c r="U145" s="99">
        <f>E148</f>
        <v>3.9</v>
      </c>
      <c r="V145" s="99"/>
      <c r="W145" s="100"/>
      <c r="X145" s="100">
        <f>E149</f>
        <v>4.6000000000000005</v>
      </c>
      <c r="Y145" s="99"/>
      <c r="Z145" s="99"/>
      <c r="AA145" s="99">
        <f>J145*S145+L145*U145</f>
        <v>59.544449999999998</v>
      </c>
      <c r="AB145" s="99">
        <f>K145*T145</f>
        <v>67.465599999999995</v>
      </c>
      <c r="AC145" s="100">
        <f>G145*P145+O145*X145</f>
        <v>41.128600000000006</v>
      </c>
      <c r="AD145" s="99">
        <f>Y145+Z145+AA145+AB145+AC145</f>
        <v>168.13864999999998</v>
      </c>
      <c r="AE145" s="99">
        <f>AD145-AC145</f>
        <v>127.01004999999998</v>
      </c>
    </row>
    <row r="146" spans="1:31" x14ac:dyDescent="0.35">
      <c r="B146" s="101"/>
      <c r="C146" s="113" t="s">
        <v>526</v>
      </c>
      <c r="D146" s="98">
        <v>8.9130000000000003</v>
      </c>
      <c r="E146" s="99">
        <v>4.05</v>
      </c>
      <c r="F146" s="100">
        <f>D146*E146</f>
        <v>36.097650000000002</v>
      </c>
      <c r="G146" s="103"/>
      <c r="H146" s="104"/>
      <c r="I146" s="104"/>
      <c r="J146" s="104"/>
      <c r="K146" s="104"/>
      <c r="L146" s="104"/>
      <c r="M146" s="104"/>
      <c r="N146" s="104"/>
      <c r="O146" s="104"/>
      <c r="P146" s="101"/>
      <c r="Q146" s="104"/>
      <c r="R146" s="104"/>
      <c r="S146" s="104"/>
      <c r="T146" s="104"/>
      <c r="U146" s="104"/>
      <c r="V146" s="104"/>
      <c r="W146" s="104"/>
      <c r="X146" s="104"/>
      <c r="Y146" s="101"/>
      <c r="Z146" s="104"/>
      <c r="AA146" s="104"/>
      <c r="AB146" s="104"/>
      <c r="AC146" s="104"/>
      <c r="AD146" s="101"/>
      <c r="AE146" s="105"/>
    </row>
    <row r="147" spans="1:31" x14ac:dyDescent="0.35">
      <c r="B147" s="106"/>
      <c r="C147" s="102" t="s">
        <v>523</v>
      </c>
      <c r="D147" s="98">
        <v>21.082999999999998</v>
      </c>
      <c r="E147" s="99">
        <v>3.2</v>
      </c>
      <c r="F147" s="100">
        <f>D147*E147</f>
        <v>67.465599999999995</v>
      </c>
    </row>
    <row r="148" spans="1:31" x14ac:dyDescent="0.35">
      <c r="B148" s="106"/>
      <c r="C148" s="113" t="s">
        <v>527</v>
      </c>
      <c r="D148" s="98">
        <v>6.0119999999999996</v>
      </c>
      <c r="E148" s="99">
        <v>3.9</v>
      </c>
      <c r="F148" s="100">
        <f>D148*E148</f>
        <v>23.446799999999996</v>
      </c>
    </row>
    <row r="149" spans="1:31" x14ac:dyDescent="0.35">
      <c r="B149" s="106"/>
      <c r="C149" s="102" t="s">
        <v>528</v>
      </c>
      <c r="D149" s="98">
        <v>7.0110000000000001</v>
      </c>
      <c r="E149" s="99">
        <v>4.6000000000000005</v>
      </c>
      <c r="F149" s="100">
        <f>D149*E149</f>
        <v>32.250600000000006</v>
      </c>
    </row>
    <row r="150" spans="1:31" x14ac:dyDescent="0.35">
      <c r="B150" s="106"/>
      <c r="C150" s="94" t="s">
        <v>491</v>
      </c>
      <c r="D150" s="95">
        <f>SUM(D145:D149)</f>
        <v>44.948999999999998</v>
      </c>
      <c r="E150" s="96"/>
      <c r="F150" s="97">
        <f>SUM(F145:F149)</f>
        <v>168.13864999999998</v>
      </c>
      <c r="I150" s="109"/>
      <c r="J150" s="109"/>
      <c r="K150" s="109"/>
      <c r="L150" s="109"/>
      <c r="M150" s="109"/>
      <c r="N150" s="109"/>
      <c r="O150" s="109"/>
      <c r="P150" s="107"/>
      <c r="Q150" s="109"/>
      <c r="R150" s="109"/>
      <c r="S150" s="109"/>
      <c r="T150" s="109"/>
      <c r="U150" s="109"/>
      <c r="V150" s="109"/>
      <c r="W150" s="109"/>
      <c r="X150" s="109"/>
      <c r="Y150" s="107"/>
      <c r="Z150" s="109"/>
      <c r="AA150" s="109"/>
      <c r="AB150" s="109"/>
      <c r="AC150" s="109"/>
      <c r="AD150" s="107"/>
      <c r="AE150" s="110"/>
    </row>
    <row r="151" spans="1:31" x14ac:dyDescent="0.35">
      <c r="B151" s="93"/>
      <c r="C151" s="102" t="s">
        <v>492</v>
      </c>
      <c r="D151" s="98">
        <f>D150-D149</f>
        <v>37.937999999999995</v>
      </c>
      <c r="E151" s="99"/>
      <c r="F151" s="100">
        <f>F150-F149-F145</f>
        <v>127.01004999999996</v>
      </c>
      <c r="G151" s="97"/>
      <c r="H151" s="111"/>
      <c r="I151" s="111"/>
      <c r="J151" s="111"/>
      <c r="K151" s="111"/>
      <c r="L151" s="111"/>
      <c r="M151" s="111"/>
      <c r="N151" s="111"/>
      <c r="O151" s="111"/>
      <c r="P151" s="93"/>
      <c r="Q151" s="111"/>
      <c r="R151" s="111"/>
      <c r="S151" s="111"/>
      <c r="T151" s="111"/>
      <c r="U151" s="111"/>
      <c r="V151" s="111"/>
      <c r="W151" s="111"/>
      <c r="X151" s="111"/>
      <c r="Y151" s="93"/>
      <c r="Z151" s="111"/>
      <c r="AA151" s="111"/>
      <c r="AB151" s="111"/>
      <c r="AC151" s="111"/>
      <c r="AD151" s="93"/>
      <c r="AE151" s="112"/>
    </row>
    <row r="152" spans="1:31" x14ac:dyDescent="0.35">
      <c r="A152" s="22">
        <f>A145+1</f>
        <v>23</v>
      </c>
      <c r="B152" s="93" t="s">
        <v>529</v>
      </c>
      <c r="C152" s="94" t="s">
        <v>530</v>
      </c>
      <c r="D152" s="95">
        <v>1.93</v>
      </c>
      <c r="E152" s="96">
        <v>4.6000000000000005</v>
      </c>
      <c r="F152" s="97">
        <f>D152*E152</f>
        <v>8.8780000000000001</v>
      </c>
      <c r="G152" s="97">
        <f>D152</f>
        <v>1.93</v>
      </c>
      <c r="H152" s="98"/>
      <c r="I152" s="99"/>
      <c r="J152" s="99">
        <f>D153</f>
        <v>8.9130000000000003</v>
      </c>
      <c r="K152" s="99">
        <f>D154</f>
        <v>21.082999999999998</v>
      </c>
      <c r="L152" s="99">
        <f>D155</f>
        <v>8.9130000000000003</v>
      </c>
      <c r="M152" s="99"/>
      <c r="N152" s="100"/>
      <c r="O152" s="100">
        <f>D156</f>
        <v>1.93</v>
      </c>
      <c r="P152" s="99">
        <f>E152</f>
        <v>4.6000000000000005</v>
      </c>
      <c r="Q152" s="99"/>
      <c r="R152" s="99"/>
      <c r="S152" s="99">
        <f>E153</f>
        <v>4.05</v>
      </c>
      <c r="T152" s="99">
        <f>E154</f>
        <v>3.2</v>
      </c>
      <c r="U152" s="99">
        <f>E155</f>
        <v>4.05</v>
      </c>
      <c r="V152" s="99"/>
      <c r="W152" s="100"/>
      <c r="X152" s="100">
        <f>E156</f>
        <v>4.6000000000000005</v>
      </c>
      <c r="Y152" s="99"/>
      <c r="Z152" s="99"/>
      <c r="AA152" s="99">
        <f>J152*S152+L152*U152</f>
        <v>72.195300000000003</v>
      </c>
      <c r="AB152" s="99">
        <f>K152*T152</f>
        <v>67.465599999999995</v>
      </c>
      <c r="AC152" s="100">
        <f>G152*P152+O152*X152</f>
        <v>17.756</v>
      </c>
      <c r="AD152" s="99">
        <f>Y152+Z152+AA152+AB152+AC152</f>
        <v>157.4169</v>
      </c>
      <c r="AE152" s="99">
        <f>AD152-AC152</f>
        <v>139.6609</v>
      </c>
    </row>
    <row r="153" spans="1:31" x14ac:dyDescent="0.35">
      <c r="A153" s="117"/>
      <c r="B153" s="101" t="s">
        <v>531</v>
      </c>
      <c r="C153" s="113" t="s">
        <v>526</v>
      </c>
      <c r="D153" s="98">
        <v>8.9130000000000003</v>
      </c>
      <c r="E153" s="99">
        <v>4.05</v>
      </c>
      <c r="F153" s="100">
        <f>D153*E153</f>
        <v>36.097650000000002</v>
      </c>
      <c r="G153" s="103"/>
      <c r="H153" s="104"/>
      <c r="I153" s="104"/>
      <c r="J153" s="104"/>
      <c r="K153" s="104"/>
      <c r="L153" s="104"/>
      <c r="M153" s="104"/>
      <c r="N153" s="104"/>
      <c r="O153" s="104"/>
      <c r="P153" s="101"/>
      <c r="Q153" s="104"/>
      <c r="R153" s="104"/>
      <c r="S153" s="104"/>
      <c r="T153" s="104"/>
      <c r="U153" s="104"/>
      <c r="V153" s="104"/>
      <c r="W153" s="104"/>
      <c r="X153" s="104"/>
      <c r="Y153" s="101"/>
      <c r="Z153" s="104"/>
      <c r="AA153" s="104"/>
      <c r="AB153" s="104"/>
      <c r="AC153" s="104"/>
      <c r="AD153" s="101"/>
      <c r="AE153" s="105"/>
    </row>
    <row r="154" spans="1:31" x14ac:dyDescent="0.35">
      <c r="B154" s="106"/>
      <c r="C154" s="102" t="s">
        <v>523</v>
      </c>
      <c r="D154" s="98">
        <v>21.082999999999998</v>
      </c>
      <c r="E154" s="99">
        <v>3.2</v>
      </c>
      <c r="F154" s="100">
        <f>D154*E154</f>
        <v>67.465599999999995</v>
      </c>
    </row>
    <row r="155" spans="1:31" x14ac:dyDescent="0.35">
      <c r="B155" s="106"/>
      <c r="C155" s="113" t="s">
        <v>526</v>
      </c>
      <c r="D155" s="98">
        <v>8.9130000000000003</v>
      </c>
      <c r="E155" s="99">
        <v>4.05</v>
      </c>
      <c r="F155" s="100">
        <f>D155*E155</f>
        <v>36.097650000000002</v>
      </c>
    </row>
    <row r="156" spans="1:31" x14ac:dyDescent="0.35">
      <c r="B156" s="106"/>
      <c r="C156" s="94" t="s">
        <v>530</v>
      </c>
      <c r="D156" s="98">
        <v>1.93</v>
      </c>
      <c r="E156" s="99">
        <v>4.6000000000000005</v>
      </c>
      <c r="F156" s="100">
        <f>D156*E156</f>
        <v>8.8780000000000001</v>
      </c>
    </row>
    <row r="157" spans="1:31" x14ac:dyDescent="0.35">
      <c r="B157" s="106"/>
      <c r="C157" s="94" t="s">
        <v>491</v>
      </c>
      <c r="D157" s="95">
        <f>SUM(D152:D156)</f>
        <v>42.768999999999998</v>
      </c>
      <c r="E157" s="96"/>
      <c r="F157" s="97">
        <f>SUM(F152:F156)</f>
        <v>157.4169</v>
      </c>
      <c r="I157" s="109"/>
      <c r="J157" s="109"/>
      <c r="K157" s="109"/>
      <c r="L157" s="109"/>
      <c r="M157" s="109"/>
      <c r="N157" s="109"/>
      <c r="O157" s="109"/>
      <c r="P157" s="107"/>
      <c r="Q157" s="109"/>
      <c r="R157" s="109"/>
      <c r="S157" s="109"/>
      <c r="T157" s="109"/>
      <c r="U157" s="109"/>
      <c r="V157" s="109"/>
      <c r="W157" s="109"/>
      <c r="X157" s="109"/>
      <c r="Y157" s="107"/>
      <c r="Z157" s="109"/>
      <c r="AA157" s="109"/>
      <c r="AB157" s="109"/>
      <c r="AC157" s="109"/>
      <c r="AD157" s="107"/>
      <c r="AE157" s="110"/>
    </row>
    <row r="158" spans="1:31" x14ac:dyDescent="0.35">
      <c r="B158" s="93"/>
      <c r="C158" s="102" t="s">
        <v>492</v>
      </c>
      <c r="D158" s="98">
        <f>D157-D156</f>
        <v>40.838999999999999</v>
      </c>
      <c r="E158" s="99"/>
      <c r="F158" s="100">
        <f>F157-F156-F152</f>
        <v>139.66090000000003</v>
      </c>
      <c r="G158" s="97"/>
      <c r="H158" s="111"/>
      <c r="I158" s="111"/>
      <c r="J158" s="111"/>
      <c r="K158" s="111"/>
      <c r="L158" s="111"/>
      <c r="M158" s="111"/>
      <c r="N158" s="111"/>
      <c r="O158" s="111"/>
      <c r="P158" s="93"/>
      <c r="Q158" s="111"/>
      <c r="R158" s="111"/>
      <c r="S158" s="111"/>
      <c r="T158" s="111"/>
      <c r="U158" s="111"/>
      <c r="V158" s="111"/>
      <c r="W158" s="111"/>
      <c r="X158" s="111"/>
      <c r="Y158" s="93"/>
      <c r="Z158" s="111"/>
      <c r="AA158" s="111"/>
      <c r="AB158" s="111"/>
      <c r="AC158" s="111"/>
      <c r="AD158" s="93"/>
      <c r="AE158" s="112"/>
    </row>
    <row r="159" spans="1:31" x14ac:dyDescent="0.35">
      <c r="A159" s="22">
        <f>A152+1</f>
        <v>24</v>
      </c>
      <c r="B159" s="93" t="s">
        <v>532</v>
      </c>
      <c r="C159" s="94" t="s">
        <v>13</v>
      </c>
      <c r="D159" s="95">
        <v>4.93</v>
      </c>
      <c r="E159" s="96">
        <v>2.6</v>
      </c>
      <c r="F159" s="97">
        <f t="shared" ref="F159:F165" si="3">D159*E159</f>
        <v>12.818</v>
      </c>
      <c r="G159" s="97">
        <f>D159</f>
        <v>4.93</v>
      </c>
      <c r="H159" s="98">
        <f>D160</f>
        <v>11.077999999999999</v>
      </c>
      <c r="I159" s="99"/>
      <c r="J159" s="99">
        <f>D161</f>
        <v>8.3960000000000008</v>
      </c>
      <c r="K159" s="99">
        <f>D162</f>
        <v>16.437999999999999</v>
      </c>
      <c r="L159" s="99">
        <f>D163</f>
        <v>8.3960000000000008</v>
      </c>
      <c r="M159" s="99"/>
      <c r="N159" s="100">
        <f>D164</f>
        <v>11.077999999999999</v>
      </c>
      <c r="O159" s="100">
        <f>D165</f>
        <v>4.93</v>
      </c>
      <c r="P159" s="99">
        <f>E159</f>
        <v>2.6</v>
      </c>
      <c r="Q159" s="99">
        <f>E160</f>
        <v>3.18</v>
      </c>
      <c r="R159" s="99"/>
      <c r="S159" s="99">
        <f>E161</f>
        <v>4.05</v>
      </c>
      <c r="T159" s="99">
        <f>E162</f>
        <v>3.45</v>
      </c>
      <c r="U159" s="99">
        <f>E163</f>
        <v>4.05</v>
      </c>
      <c r="V159" s="99"/>
      <c r="W159" s="100">
        <f>E164</f>
        <v>3.18</v>
      </c>
      <c r="X159" s="100">
        <f>E165</f>
        <v>2.6</v>
      </c>
      <c r="Y159" s="99">
        <f>H159*Q159+N159*W159</f>
        <v>70.45608</v>
      </c>
      <c r="Z159" s="99"/>
      <c r="AA159" s="99">
        <f>J159*S159+L159*U159</f>
        <v>68.007599999999996</v>
      </c>
      <c r="AB159" s="99">
        <f>K159*T159</f>
        <v>56.711100000000002</v>
      </c>
      <c r="AC159" s="100">
        <f>O159*X159+G159*P159</f>
        <v>25.635999999999999</v>
      </c>
      <c r="AD159" s="99">
        <f>Y159+Z159+AA159+AB159+AC159</f>
        <v>220.81077999999999</v>
      </c>
      <c r="AE159" s="99">
        <f>AD159-AC159</f>
        <v>195.17478</v>
      </c>
    </row>
    <row r="160" spans="1:31" x14ac:dyDescent="0.35">
      <c r="B160" s="101"/>
      <c r="C160" s="113" t="s">
        <v>533</v>
      </c>
      <c r="D160" s="98">
        <v>11.077999999999999</v>
      </c>
      <c r="E160" s="99">
        <v>3.18</v>
      </c>
      <c r="F160" s="100">
        <f t="shared" si="3"/>
        <v>35.22804</v>
      </c>
      <c r="G160" s="103"/>
      <c r="H160" s="104"/>
      <c r="I160" s="104"/>
      <c r="J160" s="104"/>
      <c r="K160" s="104"/>
      <c r="L160" s="104"/>
      <c r="M160" s="104"/>
      <c r="N160" s="104"/>
      <c r="O160" s="104"/>
      <c r="P160" s="101"/>
      <c r="Q160" s="104"/>
      <c r="R160" s="104"/>
      <c r="S160" s="104"/>
      <c r="T160" s="104"/>
      <c r="U160" s="104"/>
      <c r="V160" s="104"/>
      <c r="W160" s="104"/>
      <c r="X160" s="104"/>
      <c r="Y160" s="101"/>
      <c r="Z160" s="104"/>
      <c r="AA160" s="104"/>
      <c r="AB160" s="104"/>
      <c r="AC160" s="104"/>
      <c r="AD160" s="101"/>
      <c r="AE160" s="105"/>
    </row>
    <row r="161" spans="1:31" x14ac:dyDescent="0.35">
      <c r="B161" s="106"/>
      <c r="C161" s="102" t="s">
        <v>534</v>
      </c>
      <c r="D161" s="98">
        <v>8.3960000000000008</v>
      </c>
      <c r="E161" s="99">
        <v>4.05</v>
      </c>
      <c r="F161" s="100">
        <f t="shared" si="3"/>
        <v>34.003799999999998</v>
      </c>
    </row>
    <row r="162" spans="1:31" x14ac:dyDescent="0.35">
      <c r="B162" s="106"/>
      <c r="C162" s="113" t="s">
        <v>523</v>
      </c>
      <c r="D162" s="98">
        <v>16.437999999999999</v>
      </c>
      <c r="E162" s="99">
        <v>3.45</v>
      </c>
      <c r="F162" s="100">
        <f t="shared" si="3"/>
        <v>56.711100000000002</v>
      </c>
    </row>
    <row r="163" spans="1:31" x14ac:dyDescent="0.35">
      <c r="B163" s="106"/>
      <c r="C163" s="102" t="s">
        <v>534</v>
      </c>
      <c r="D163" s="98">
        <v>8.3960000000000008</v>
      </c>
      <c r="E163" s="99">
        <v>4.05</v>
      </c>
      <c r="F163" s="100">
        <f t="shared" si="3"/>
        <v>34.003799999999998</v>
      </c>
    </row>
    <row r="164" spans="1:31" x14ac:dyDescent="0.35">
      <c r="B164" s="106"/>
      <c r="C164" s="113" t="s">
        <v>533</v>
      </c>
      <c r="D164" s="115">
        <v>11.077999999999999</v>
      </c>
      <c r="E164" s="116">
        <v>3.18</v>
      </c>
      <c r="F164" s="103">
        <f t="shared" si="3"/>
        <v>35.22804</v>
      </c>
    </row>
    <row r="165" spans="1:31" x14ac:dyDescent="0.35">
      <c r="B165" s="106"/>
      <c r="C165" s="102" t="s">
        <v>13</v>
      </c>
      <c r="D165" s="98">
        <v>4.93</v>
      </c>
      <c r="E165" s="99">
        <v>2.6</v>
      </c>
      <c r="F165" s="100">
        <f t="shared" si="3"/>
        <v>12.818</v>
      </c>
    </row>
    <row r="166" spans="1:31" x14ac:dyDescent="0.35">
      <c r="B166" s="106"/>
      <c r="C166" s="94" t="s">
        <v>491</v>
      </c>
      <c r="D166" s="95">
        <f>SUM(D159:D165)</f>
        <v>65.246000000000009</v>
      </c>
      <c r="E166" s="96"/>
      <c r="F166" s="97">
        <f>SUM(F159:F165)</f>
        <v>220.81078000000002</v>
      </c>
      <c r="I166" s="109"/>
      <c r="J166" s="109"/>
      <c r="K166" s="109"/>
      <c r="L166" s="109"/>
      <c r="M166" s="109"/>
      <c r="N166" s="109"/>
      <c r="O166" s="109"/>
      <c r="P166" s="107"/>
      <c r="Q166" s="109"/>
      <c r="R166" s="109"/>
      <c r="S166" s="109"/>
      <c r="T166" s="109"/>
      <c r="U166" s="109"/>
      <c r="V166" s="109"/>
      <c r="W166" s="109"/>
      <c r="X166" s="109"/>
      <c r="Y166" s="107"/>
      <c r="Z166" s="109"/>
      <c r="AA166" s="109"/>
      <c r="AB166" s="109"/>
      <c r="AC166" s="109"/>
      <c r="AD166" s="107"/>
      <c r="AE166" s="110"/>
    </row>
    <row r="167" spans="1:31" x14ac:dyDescent="0.35">
      <c r="B167" s="93"/>
      <c r="C167" s="102" t="s">
        <v>492</v>
      </c>
      <c r="D167" s="98">
        <f>D166-D165</f>
        <v>60.31600000000001</v>
      </c>
      <c r="E167" s="99"/>
      <c r="F167" s="100">
        <f>F166-F165-F159</f>
        <v>195.17478</v>
      </c>
      <c r="G167" s="97"/>
      <c r="H167" s="111"/>
      <c r="I167" s="111"/>
      <c r="J167" s="111"/>
      <c r="K167" s="111"/>
      <c r="L167" s="111"/>
      <c r="M167" s="111"/>
      <c r="N167" s="111"/>
      <c r="O167" s="111"/>
      <c r="P167" s="93"/>
      <c r="Q167" s="111"/>
      <c r="R167" s="111"/>
      <c r="S167" s="111"/>
      <c r="T167" s="111"/>
      <c r="U167" s="111"/>
      <c r="V167" s="111"/>
      <c r="W167" s="111"/>
      <c r="X167" s="111"/>
      <c r="Y167" s="93"/>
      <c r="Z167" s="111"/>
      <c r="AA167" s="111"/>
      <c r="AB167" s="111"/>
      <c r="AC167" s="111"/>
      <c r="AD167" s="93"/>
      <c r="AE167" s="112"/>
    </row>
    <row r="168" spans="1:31" x14ac:dyDescent="0.35">
      <c r="A168" s="22">
        <f>A159+1</f>
        <v>25</v>
      </c>
      <c r="B168" s="93" t="s">
        <v>535</v>
      </c>
      <c r="C168" s="94" t="s">
        <v>13</v>
      </c>
      <c r="D168" s="95">
        <v>7.0110000000000001</v>
      </c>
      <c r="E168" s="96">
        <v>4.6000000000000005</v>
      </c>
      <c r="F168" s="97">
        <f>D168*E168</f>
        <v>32.250600000000006</v>
      </c>
      <c r="G168" s="97">
        <f>D168</f>
        <v>7.0110000000000001</v>
      </c>
      <c r="H168" s="98"/>
      <c r="I168" s="99"/>
      <c r="J168" s="99">
        <f>D169</f>
        <v>6.0119999999999996</v>
      </c>
      <c r="K168" s="99">
        <f>D170</f>
        <v>21.082999999999998</v>
      </c>
      <c r="L168" s="99">
        <f>D171</f>
        <v>6.0119999999999996</v>
      </c>
      <c r="M168" s="99"/>
      <c r="N168" s="100"/>
      <c r="O168" s="100">
        <f>D172</f>
        <v>7.0110000000000001</v>
      </c>
      <c r="P168" s="99">
        <f>E168</f>
        <v>4.6000000000000005</v>
      </c>
      <c r="Q168" s="99"/>
      <c r="R168" s="99"/>
      <c r="S168" s="99">
        <f>E169</f>
        <v>3.9</v>
      </c>
      <c r="T168" s="99">
        <f>E170</f>
        <v>3.35</v>
      </c>
      <c r="U168" s="99">
        <f>E171</f>
        <v>3.9</v>
      </c>
      <c r="V168" s="99"/>
      <c r="W168" s="100"/>
      <c r="X168" s="100">
        <f>E172</f>
        <v>4.6000000000000005</v>
      </c>
      <c r="Y168" s="99"/>
      <c r="Z168" s="99"/>
      <c r="AA168" s="99">
        <f>J168*S168+L168*U168</f>
        <v>46.893599999999992</v>
      </c>
      <c r="AB168" s="99">
        <f>K168*T168</f>
        <v>70.628050000000002</v>
      </c>
      <c r="AC168" s="100">
        <f>G168*P168+O168*X168</f>
        <v>64.501200000000011</v>
      </c>
      <c r="AD168" s="99">
        <f>Y168+Z168+AA168+AB168+AC168</f>
        <v>182.02285000000001</v>
      </c>
      <c r="AE168" s="99">
        <f>AD168-AC168</f>
        <v>117.52164999999999</v>
      </c>
    </row>
    <row r="169" spans="1:31" x14ac:dyDescent="0.35">
      <c r="B169" s="101"/>
      <c r="C169" s="113" t="s">
        <v>12</v>
      </c>
      <c r="D169" s="98">
        <v>6.0119999999999996</v>
      </c>
      <c r="E169" s="99">
        <v>3.9</v>
      </c>
      <c r="F169" s="100">
        <f>D169*E169</f>
        <v>23.446799999999996</v>
      </c>
      <c r="G169" s="103"/>
      <c r="H169" s="104"/>
      <c r="I169" s="104"/>
      <c r="J169" s="104"/>
      <c r="K169" s="104"/>
      <c r="L169" s="104"/>
      <c r="M169" s="104"/>
      <c r="N169" s="104"/>
      <c r="O169" s="104"/>
      <c r="P169" s="101"/>
      <c r="Q169" s="104"/>
      <c r="R169" s="104"/>
      <c r="S169" s="104"/>
      <c r="T169" s="104"/>
      <c r="U169" s="104"/>
      <c r="V169" s="104"/>
      <c r="W169" s="104"/>
      <c r="X169" s="104"/>
      <c r="Y169" s="101"/>
      <c r="Z169" s="104"/>
      <c r="AA169" s="104"/>
      <c r="AB169" s="104"/>
      <c r="AC169" s="104"/>
      <c r="AD169" s="101"/>
      <c r="AE169" s="105"/>
    </row>
    <row r="170" spans="1:31" x14ac:dyDescent="0.35">
      <c r="B170" s="106"/>
      <c r="C170" s="102" t="s">
        <v>523</v>
      </c>
      <c r="D170" s="98">
        <v>21.082999999999998</v>
      </c>
      <c r="E170" s="99">
        <v>3.35</v>
      </c>
      <c r="F170" s="100">
        <f>D170*E170</f>
        <v>70.628050000000002</v>
      </c>
    </row>
    <row r="171" spans="1:31" x14ac:dyDescent="0.35">
      <c r="B171" s="106"/>
      <c r="C171" s="113" t="s">
        <v>12</v>
      </c>
      <c r="D171" s="98">
        <v>6.0119999999999996</v>
      </c>
      <c r="E171" s="99">
        <v>3.9</v>
      </c>
      <c r="F171" s="100">
        <f>D171*E171</f>
        <v>23.446799999999996</v>
      </c>
    </row>
    <row r="172" spans="1:31" x14ac:dyDescent="0.35">
      <c r="B172" s="106"/>
      <c r="C172" s="102" t="s">
        <v>13</v>
      </c>
      <c r="D172" s="98">
        <v>7.0110000000000001</v>
      </c>
      <c r="E172" s="99">
        <v>4.6000000000000005</v>
      </c>
      <c r="F172" s="100">
        <f>D172*E172</f>
        <v>32.250600000000006</v>
      </c>
    </row>
    <row r="173" spans="1:31" x14ac:dyDescent="0.35">
      <c r="B173" s="106"/>
      <c r="C173" s="94" t="s">
        <v>491</v>
      </c>
      <c r="D173" s="95">
        <f>SUM(D168:D172)</f>
        <v>47.128999999999998</v>
      </c>
      <c r="E173" s="96"/>
      <c r="F173" s="97">
        <f>SUM(F168:F172)</f>
        <v>182.02285000000001</v>
      </c>
      <c r="I173" s="109"/>
      <c r="J173" s="109"/>
      <c r="K173" s="109"/>
      <c r="L173" s="109"/>
      <c r="M173" s="109"/>
      <c r="N173" s="109"/>
      <c r="O173" s="109"/>
      <c r="P173" s="107"/>
      <c r="Q173" s="109"/>
      <c r="R173" s="109"/>
      <c r="S173" s="109"/>
      <c r="T173" s="109"/>
      <c r="U173" s="109"/>
      <c r="V173" s="109"/>
      <c r="W173" s="109"/>
      <c r="X173" s="109"/>
      <c r="Y173" s="107"/>
      <c r="Z173" s="109"/>
      <c r="AA173" s="109"/>
      <c r="AB173" s="109"/>
      <c r="AC173" s="109"/>
      <c r="AD173" s="107"/>
      <c r="AE173" s="110"/>
    </row>
    <row r="174" spans="1:31" x14ac:dyDescent="0.35">
      <c r="B174" s="93"/>
      <c r="C174" s="102" t="s">
        <v>492</v>
      </c>
      <c r="D174" s="98">
        <f>D173-D172</f>
        <v>40.117999999999995</v>
      </c>
      <c r="E174" s="99"/>
      <c r="F174" s="100">
        <f>F173-F172-F168</f>
        <v>117.52164999999998</v>
      </c>
      <c r="G174" s="97"/>
      <c r="H174" s="111"/>
      <c r="I174" s="111"/>
      <c r="J174" s="111"/>
      <c r="K174" s="111"/>
      <c r="L174" s="111"/>
      <c r="M174" s="111"/>
      <c r="N174" s="111"/>
      <c r="O174" s="111"/>
      <c r="P174" s="93"/>
      <c r="Q174" s="111"/>
      <c r="R174" s="111"/>
      <c r="S174" s="111"/>
      <c r="T174" s="111"/>
      <c r="U174" s="111"/>
      <c r="V174" s="111"/>
      <c r="W174" s="111"/>
      <c r="X174" s="111"/>
      <c r="Y174" s="93"/>
      <c r="Z174" s="111"/>
      <c r="AA174" s="111"/>
      <c r="AB174" s="111"/>
      <c r="AC174" s="111"/>
      <c r="AD174" s="93"/>
      <c r="AE174" s="112"/>
    </row>
    <row r="175" spans="1:31" x14ac:dyDescent="0.35">
      <c r="A175" s="22">
        <f>A168+1</f>
        <v>26</v>
      </c>
      <c r="B175" s="93" t="s">
        <v>536</v>
      </c>
      <c r="C175" s="94" t="s">
        <v>13</v>
      </c>
      <c r="D175" s="95">
        <v>1.93</v>
      </c>
      <c r="E175" s="96">
        <v>4.6000000000000005</v>
      </c>
      <c r="F175" s="97">
        <f>D175*E175</f>
        <v>8.8780000000000001</v>
      </c>
      <c r="G175" s="97">
        <f>D175</f>
        <v>1.93</v>
      </c>
      <c r="H175" s="98"/>
      <c r="I175" s="99"/>
      <c r="J175" s="99">
        <f>D176</f>
        <v>8.9130000000000003</v>
      </c>
      <c r="K175" s="99">
        <f>D177</f>
        <v>21.082999999999998</v>
      </c>
      <c r="L175" s="99">
        <f>D178</f>
        <v>6.0119999999999996</v>
      </c>
      <c r="M175" s="99"/>
      <c r="N175" s="100"/>
      <c r="O175" s="100">
        <f>D179</f>
        <v>7.0110000000000001</v>
      </c>
      <c r="P175" s="99">
        <f>E175</f>
        <v>4.6000000000000005</v>
      </c>
      <c r="Q175" s="99"/>
      <c r="R175" s="99"/>
      <c r="S175" s="99">
        <f>E176</f>
        <v>4.05</v>
      </c>
      <c r="T175" s="99">
        <f>E177</f>
        <v>3.35</v>
      </c>
      <c r="U175" s="99">
        <f>E178</f>
        <v>3.9</v>
      </c>
      <c r="V175" s="99"/>
      <c r="W175" s="100"/>
      <c r="X175" s="100">
        <f>E179</f>
        <v>4.6000000000000005</v>
      </c>
      <c r="Y175" s="99"/>
      <c r="Z175" s="99"/>
      <c r="AA175" s="99">
        <f>J175*S175+L175*U175</f>
        <v>59.544449999999998</v>
      </c>
      <c r="AB175" s="99">
        <f>K175*T175</f>
        <v>70.628050000000002</v>
      </c>
      <c r="AC175" s="100">
        <f>G175*P175+O175*X175</f>
        <v>41.128600000000006</v>
      </c>
      <c r="AD175" s="99">
        <f>Y175+Z175+AA175+AB175+AC175</f>
        <v>171.30110000000002</v>
      </c>
      <c r="AE175" s="99">
        <f>AD175-AC175</f>
        <v>130.17250000000001</v>
      </c>
    </row>
    <row r="176" spans="1:31" x14ac:dyDescent="0.35">
      <c r="B176" s="101"/>
      <c r="C176" s="113" t="s">
        <v>526</v>
      </c>
      <c r="D176" s="98">
        <v>8.9130000000000003</v>
      </c>
      <c r="E176" s="99">
        <v>4.05</v>
      </c>
      <c r="F176" s="100">
        <f>D176*E176</f>
        <v>36.097650000000002</v>
      </c>
      <c r="G176" s="103"/>
      <c r="H176" s="104"/>
      <c r="I176" s="104"/>
      <c r="J176" s="104"/>
      <c r="K176" s="104"/>
      <c r="L176" s="104"/>
      <c r="M176" s="104"/>
      <c r="N176" s="104"/>
      <c r="O176" s="104"/>
      <c r="P176" s="101"/>
      <c r="Q176" s="104"/>
      <c r="R176" s="104"/>
      <c r="S176" s="104"/>
      <c r="T176" s="104"/>
      <c r="U176" s="104"/>
      <c r="V176" s="104"/>
      <c r="W176" s="104"/>
      <c r="X176" s="104"/>
      <c r="Y176" s="101"/>
      <c r="Z176" s="104"/>
      <c r="AA176" s="104"/>
      <c r="AB176" s="104"/>
      <c r="AC176" s="104"/>
      <c r="AD176" s="101"/>
      <c r="AE176" s="105"/>
    </row>
    <row r="177" spans="1:31" x14ac:dyDescent="0.35">
      <c r="B177" s="106"/>
      <c r="C177" s="102" t="s">
        <v>523</v>
      </c>
      <c r="D177" s="98">
        <v>21.082999999999998</v>
      </c>
      <c r="E177" s="99">
        <v>3.35</v>
      </c>
      <c r="F177" s="100">
        <f>D177*E177</f>
        <v>70.628050000000002</v>
      </c>
    </row>
    <row r="178" spans="1:31" x14ac:dyDescent="0.35">
      <c r="B178" s="106"/>
      <c r="C178" s="113" t="s">
        <v>537</v>
      </c>
      <c r="D178" s="98">
        <v>6.0119999999999996</v>
      </c>
      <c r="E178" s="99">
        <v>3.9</v>
      </c>
      <c r="F178" s="100">
        <f>D178*E178</f>
        <v>23.446799999999996</v>
      </c>
    </row>
    <row r="179" spans="1:31" x14ac:dyDescent="0.35">
      <c r="B179" s="106"/>
      <c r="C179" s="102" t="s">
        <v>13</v>
      </c>
      <c r="D179" s="98">
        <v>7.0110000000000001</v>
      </c>
      <c r="E179" s="99">
        <v>4.6000000000000005</v>
      </c>
      <c r="F179" s="100">
        <f>D179*E179</f>
        <v>32.250600000000006</v>
      </c>
    </row>
    <row r="180" spans="1:31" x14ac:dyDescent="0.35">
      <c r="B180" s="106"/>
      <c r="C180" s="94" t="s">
        <v>491</v>
      </c>
      <c r="D180" s="95">
        <f>SUM(D175:D179)</f>
        <v>44.948999999999998</v>
      </c>
      <c r="E180" s="96"/>
      <c r="F180" s="97">
        <f>SUM(F175:F179)</f>
        <v>171.30110000000002</v>
      </c>
      <c r="I180" s="109"/>
      <c r="J180" s="109"/>
      <c r="K180" s="109"/>
      <c r="L180" s="109"/>
      <c r="M180" s="109"/>
      <c r="N180" s="109"/>
      <c r="O180" s="109"/>
      <c r="P180" s="107"/>
      <c r="Q180" s="109"/>
      <c r="R180" s="109"/>
      <c r="S180" s="109"/>
      <c r="T180" s="109"/>
      <c r="U180" s="109"/>
      <c r="V180" s="109"/>
      <c r="W180" s="109"/>
      <c r="X180" s="109"/>
      <c r="Y180" s="107"/>
      <c r="Z180" s="109"/>
      <c r="AA180" s="109"/>
      <c r="AB180" s="109"/>
      <c r="AC180" s="109"/>
      <c r="AD180" s="107"/>
      <c r="AE180" s="110"/>
    </row>
    <row r="181" spans="1:31" x14ac:dyDescent="0.35">
      <c r="B181" s="93"/>
      <c r="C181" s="102" t="s">
        <v>492</v>
      </c>
      <c r="D181" s="98">
        <f>D180-D179</f>
        <v>37.937999999999995</v>
      </c>
      <c r="E181" s="99"/>
      <c r="F181" s="100">
        <f>F180-F179-F175</f>
        <v>130.17250000000001</v>
      </c>
      <c r="G181" s="97"/>
      <c r="H181" s="111"/>
      <c r="I181" s="111"/>
      <c r="J181" s="111"/>
      <c r="K181" s="111"/>
      <c r="L181" s="111"/>
      <c r="M181" s="111"/>
      <c r="N181" s="111"/>
      <c r="O181" s="111"/>
      <c r="P181" s="93"/>
      <c r="Q181" s="111"/>
      <c r="R181" s="111"/>
      <c r="S181" s="111"/>
      <c r="T181" s="111"/>
      <c r="U181" s="111"/>
      <c r="V181" s="111"/>
      <c r="W181" s="111"/>
      <c r="X181" s="111"/>
      <c r="Y181" s="93"/>
      <c r="Z181" s="111"/>
      <c r="AA181" s="111"/>
      <c r="AB181" s="111"/>
      <c r="AC181" s="111"/>
      <c r="AD181" s="93"/>
      <c r="AE181" s="112"/>
    </row>
    <row r="182" spans="1:31" x14ac:dyDescent="0.35">
      <c r="A182" s="22">
        <f>A175+1</f>
        <v>27</v>
      </c>
      <c r="B182" s="93" t="s">
        <v>538</v>
      </c>
      <c r="C182" s="94" t="s">
        <v>530</v>
      </c>
      <c r="D182" s="95">
        <v>1.93</v>
      </c>
      <c r="E182" s="96">
        <v>4.6000000000000005</v>
      </c>
      <c r="F182" s="97">
        <f>D182*E182</f>
        <v>8.8780000000000001</v>
      </c>
      <c r="G182" s="97">
        <f>D182</f>
        <v>1.93</v>
      </c>
      <c r="H182" s="98"/>
      <c r="I182" s="99"/>
      <c r="J182" s="99">
        <f>D183</f>
        <v>8.9130000000000003</v>
      </c>
      <c r="K182" s="99">
        <f>D184</f>
        <v>21.082999999999998</v>
      </c>
      <c r="L182" s="99">
        <f>D185</f>
        <v>8.9130000000000003</v>
      </c>
      <c r="M182" s="99"/>
      <c r="N182" s="100"/>
      <c r="O182" s="100">
        <f>D186</f>
        <v>1.93</v>
      </c>
      <c r="P182" s="99">
        <f>E182</f>
        <v>4.6000000000000005</v>
      </c>
      <c r="Q182" s="99"/>
      <c r="R182" s="99"/>
      <c r="S182" s="99">
        <f>E183</f>
        <v>4.05</v>
      </c>
      <c r="T182" s="99">
        <f>E184</f>
        <v>3.35</v>
      </c>
      <c r="U182" s="99">
        <f>E185</f>
        <v>4.05</v>
      </c>
      <c r="V182" s="99"/>
      <c r="W182" s="100"/>
      <c r="X182" s="100">
        <f>E186</f>
        <v>4.6000000000000005</v>
      </c>
      <c r="Y182" s="99"/>
      <c r="Z182" s="99"/>
      <c r="AA182" s="99">
        <f>J182*S182+L182*U182</f>
        <v>72.195300000000003</v>
      </c>
      <c r="AB182" s="99">
        <f>K182*T182</f>
        <v>70.628050000000002</v>
      </c>
      <c r="AC182" s="100">
        <f>G182*P182+O182*X182</f>
        <v>17.756</v>
      </c>
      <c r="AD182" s="99">
        <f>Y182+Z182+AA182+AB182+AC182</f>
        <v>160.57935000000001</v>
      </c>
      <c r="AE182" s="99">
        <f>AD182-AC182</f>
        <v>142.82335</v>
      </c>
    </row>
    <row r="183" spans="1:31" x14ac:dyDescent="0.35">
      <c r="B183" s="101" t="s">
        <v>531</v>
      </c>
      <c r="C183" s="113" t="s">
        <v>526</v>
      </c>
      <c r="D183" s="98">
        <v>8.9130000000000003</v>
      </c>
      <c r="E183" s="99">
        <v>4.05</v>
      </c>
      <c r="F183" s="100">
        <f>D183*E183</f>
        <v>36.097650000000002</v>
      </c>
      <c r="G183" s="103"/>
      <c r="H183" s="104"/>
      <c r="I183" s="104"/>
      <c r="J183" s="104"/>
      <c r="K183" s="104"/>
      <c r="L183" s="104"/>
      <c r="M183" s="104"/>
      <c r="N183" s="104"/>
      <c r="O183" s="104"/>
      <c r="P183" s="101"/>
      <c r="Q183" s="104"/>
      <c r="R183" s="104"/>
      <c r="S183" s="104"/>
      <c r="T183" s="104"/>
      <c r="U183" s="104"/>
      <c r="V183" s="104"/>
      <c r="W183" s="104"/>
      <c r="X183" s="104"/>
      <c r="Y183" s="101"/>
      <c r="Z183" s="104"/>
      <c r="AA183" s="104"/>
      <c r="AB183" s="104"/>
      <c r="AC183" s="104"/>
      <c r="AD183" s="101"/>
      <c r="AE183" s="105"/>
    </row>
    <row r="184" spans="1:31" x14ac:dyDescent="0.35">
      <c r="B184" s="106"/>
      <c r="C184" s="102" t="s">
        <v>523</v>
      </c>
      <c r="D184" s="98">
        <v>21.082999999999998</v>
      </c>
      <c r="E184" s="99">
        <v>3.35</v>
      </c>
      <c r="F184" s="100">
        <f>D184*E184</f>
        <v>70.628050000000002</v>
      </c>
    </row>
    <row r="185" spans="1:31" x14ac:dyDescent="0.35">
      <c r="B185" s="106"/>
      <c r="C185" s="113" t="s">
        <v>526</v>
      </c>
      <c r="D185" s="98">
        <v>8.9130000000000003</v>
      </c>
      <c r="E185" s="99">
        <v>4.05</v>
      </c>
      <c r="F185" s="100">
        <f>D185*E185</f>
        <v>36.097650000000002</v>
      </c>
    </row>
    <row r="186" spans="1:31" x14ac:dyDescent="0.35">
      <c r="B186" s="106"/>
      <c r="C186" s="94" t="s">
        <v>530</v>
      </c>
      <c r="D186" s="98">
        <v>1.93</v>
      </c>
      <c r="E186" s="99">
        <v>4.6000000000000005</v>
      </c>
      <c r="F186" s="100">
        <f>D186*E186</f>
        <v>8.8780000000000001</v>
      </c>
    </row>
    <row r="187" spans="1:31" x14ac:dyDescent="0.35">
      <c r="B187" s="106"/>
      <c r="C187" s="94" t="s">
        <v>491</v>
      </c>
      <c r="D187" s="95">
        <f>SUM(D182:D186)</f>
        <v>42.768999999999998</v>
      </c>
      <c r="E187" s="96"/>
      <c r="F187" s="97">
        <f>SUM(F182:F186)</f>
        <v>160.57934999999998</v>
      </c>
      <c r="I187" s="109"/>
      <c r="J187" s="109"/>
      <c r="K187" s="109"/>
      <c r="L187" s="109"/>
      <c r="M187" s="109"/>
      <c r="N187" s="109"/>
      <c r="O187" s="109"/>
      <c r="P187" s="107"/>
      <c r="Q187" s="109"/>
      <c r="R187" s="109"/>
      <c r="S187" s="109"/>
      <c r="T187" s="109"/>
      <c r="U187" s="109"/>
      <c r="V187" s="109"/>
      <c r="W187" s="109"/>
      <c r="X187" s="109"/>
      <c r="Y187" s="107"/>
      <c r="Z187" s="109"/>
      <c r="AA187" s="109"/>
      <c r="AB187" s="109"/>
      <c r="AC187" s="109"/>
      <c r="AD187" s="107"/>
      <c r="AE187" s="110"/>
    </row>
    <row r="188" spans="1:31" x14ac:dyDescent="0.35">
      <c r="B188" s="93"/>
      <c r="C188" s="102" t="s">
        <v>492</v>
      </c>
      <c r="D188" s="98">
        <f>D187-D186</f>
        <v>40.838999999999999</v>
      </c>
      <c r="E188" s="99"/>
      <c r="F188" s="100">
        <f>F187-F186-F182</f>
        <v>142.82335</v>
      </c>
      <c r="G188" s="97"/>
      <c r="H188" s="111"/>
      <c r="I188" s="111"/>
      <c r="J188" s="111"/>
      <c r="K188" s="111"/>
      <c r="L188" s="111"/>
      <c r="M188" s="111"/>
      <c r="N188" s="111"/>
      <c r="O188" s="111"/>
      <c r="P188" s="93"/>
      <c r="Q188" s="111"/>
      <c r="R188" s="111"/>
      <c r="S188" s="111"/>
      <c r="T188" s="111"/>
      <c r="U188" s="111"/>
      <c r="V188" s="111"/>
      <c r="W188" s="111"/>
      <c r="X188" s="111"/>
      <c r="Y188" s="93"/>
      <c r="Z188" s="111"/>
      <c r="AA188" s="111"/>
      <c r="AB188" s="111"/>
      <c r="AC188" s="111"/>
      <c r="AD188" s="93"/>
      <c r="AE188" s="112"/>
    </row>
    <row r="189" spans="1:31" x14ac:dyDescent="0.35">
      <c r="A189" s="22">
        <f>A182+1</f>
        <v>28</v>
      </c>
      <c r="B189" s="93" t="s">
        <v>539</v>
      </c>
      <c r="C189" s="94" t="s">
        <v>13</v>
      </c>
      <c r="D189" s="95">
        <v>1.93</v>
      </c>
      <c r="E189" s="96">
        <v>4.7</v>
      </c>
      <c r="F189" s="97">
        <f t="shared" ref="F189:F195" si="4">D189*E189</f>
        <v>9.0709999999999997</v>
      </c>
      <c r="G189" s="97">
        <f>D189</f>
        <v>1.93</v>
      </c>
      <c r="H189" s="98">
        <f>D190</f>
        <v>11.077999999999999</v>
      </c>
      <c r="I189" s="99"/>
      <c r="J189" s="99">
        <f>D191</f>
        <v>8.3960000000000008</v>
      </c>
      <c r="K189" s="99">
        <f>D192</f>
        <v>16.437999999999999</v>
      </c>
      <c r="L189" s="99">
        <f>D193</f>
        <v>8.3960000000000008</v>
      </c>
      <c r="M189" s="99"/>
      <c r="N189" s="100">
        <f>D194</f>
        <v>11.077999999999999</v>
      </c>
      <c r="O189" s="100">
        <f>D195</f>
        <v>1.93</v>
      </c>
      <c r="P189" s="99">
        <f>E189</f>
        <v>4.7</v>
      </c>
      <c r="Q189" s="99">
        <f>E190</f>
        <v>4.7</v>
      </c>
      <c r="R189" s="99"/>
      <c r="S189" s="99">
        <f>E191</f>
        <v>4.3</v>
      </c>
      <c r="T189" s="99">
        <f>E192</f>
        <v>4.0999999999999996</v>
      </c>
      <c r="U189" s="99">
        <f>E193</f>
        <v>4.3</v>
      </c>
      <c r="V189" s="99"/>
      <c r="W189" s="100">
        <f>E194</f>
        <v>4.7</v>
      </c>
      <c r="X189" s="100">
        <f>E195</f>
        <v>4.7</v>
      </c>
      <c r="Y189" s="99">
        <f>H189*Q189+N189*W189</f>
        <v>104.1332</v>
      </c>
      <c r="Z189" s="99"/>
      <c r="AA189" s="99">
        <f>J189*S189+L189*U189</f>
        <v>72.205600000000004</v>
      </c>
      <c r="AB189" s="99">
        <f>K189*T189</f>
        <v>67.395799999999994</v>
      </c>
      <c r="AC189" s="100">
        <f>O189*X189+G189*P189</f>
        <v>18.141999999999999</v>
      </c>
      <c r="AD189" s="99">
        <f>Y189+Z189+AA189+AB189+AC189</f>
        <v>261.8766</v>
      </c>
      <c r="AE189" s="99">
        <f>AD189-AC189</f>
        <v>243.7346</v>
      </c>
    </row>
    <row r="190" spans="1:31" x14ac:dyDescent="0.35">
      <c r="B190" s="101"/>
      <c r="C190" s="113" t="s">
        <v>533</v>
      </c>
      <c r="D190" s="98">
        <v>11.077999999999999</v>
      </c>
      <c r="E190" s="99">
        <v>4.7</v>
      </c>
      <c r="F190" s="100">
        <f t="shared" si="4"/>
        <v>52.066600000000001</v>
      </c>
      <c r="G190" s="103"/>
      <c r="H190" s="104"/>
      <c r="I190" s="104"/>
      <c r="J190" s="104"/>
      <c r="K190" s="104"/>
      <c r="L190" s="104"/>
      <c r="M190" s="104"/>
      <c r="N190" s="104"/>
      <c r="O190" s="104"/>
      <c r="P190" s="101"/>
      <c r="Q190" s="104"/>
      <c r="R190" s="104"/>
      <c r="S190" s="104"/>
      <c r="T190" s="104"/>
      <c r="U190" s="104"/>
      <c r="V190" s="104"/>
      <c r="W190" s="104"/>
      <c r="X190" s="104"/>
      <c r="Y190" s="101"/>
      <c r="Z190" s="104"/>
      <c r="AA190" s="104"/>
      <c r="AB190" s="104"/>
      <c r="AC190" s="104"/>
      <c r="AD190" s="101"/>
      <c r="AE190" s="105"/>
    </row>
    <row r="191" spans="1:31" x14ac:dyDescent="0.35">
      <c r="B191" s="106"/>
      <c r="C191" s="102" t="s">
        <v>534</v>
      </c>
      <c r="D191" s="98">
        <v>8.3960000000000008</v>
      </c>
      <c r="E191" s="99">
        <v>4.3</v>
      </c>
      <c r="F191" s="100">
        <f t="shared" si="4"/>
        <v>36.102800000000002</v>
      </c>
    </row>
    <row r="192" spans="1:31" x14ac:dyDescent="0.35">
      <c r="B192" s="106"/>
      <c r="C192" s="113" t="s">
        <v>523</v>
      </c>
      <c r="D192" s="98">
        <v>16.437999999999999</v>
      </c>
      <c r="E192" s="99">
        <v>4.0999999999999996</v>
      </c>
      <c r="F192" s="100">
        <f t="shared" si="4"/>
        <v>67.395799999999994</v>
      </c>
    </row>
    <row r="193" spans="1:31" x14ac:dyDescent="0.35">
      <c r="B193" s="106"/>
      <c r="C193" s="102" t="s">
        <v>534</v>
      </c>
      <c r="D193" s="98">
        <v>8.3960000000000008</v>
      </c>
      <c r="E193" s="99">
        <v>4.3</v>
      </c>
      <c r="F193" s="100">
        <f t="shared" si="4"/>
        <v>36.102800000000002</v>
      </c>
    </row>
    <row r="194" spans="1:31" x14ac:dyDescent="0.35">
      <c r="B194" s="106"/>
      <c r="C194" s="113" t="s">
        <v>533</v>
      </c>
      <c r="D194" s="98">
        <v>11.077999999999999</v>
      </c>
      <c r="E194" s="99">
        <v>4.7</v>
      </c>
      <c r="F194" s="100">
        <f t="shared" si="4"/>
        <v>52.066600000000001</v>
      </c>
    </row>
    <row r="195" spans="1:31" x14ac:dyDescent="0.35">
      <c r="B195" s="106"/>
      <c r="C195" s="102" t="s">
        <v>13</v>
      </c>
      <c r="D195" s="98">
        <v>1.93</v>
      </c>
      <c r="E195" s="99">
        <v>4.7</v>
      </c>
      <c r="F195" s="100">
        <f t="shared" si="4"/>
        <v>9.0709999999999997</v>
      </c>
    </row>
    <row r="196" spans="1:31" x14ac:dyDescent="0.35">
      <c r="B196" s="106"/>
      <c r="C196" s="94" t="s">
        <v>491</v>
      </c>
      <c r="D196" s="95">
        <f>SUM(D189:D195)</f>
        <v>59.246000000000002</v>
      </c>
      <c r="E196" s="96"/>
      <c r="F196" s="97">
        <f>SUM(F189:F195)</f>
        <v>261.8766</v>
      </c>
      <c r="I196" s="109"/>
      <c r="J196" s="109"/>
      <c r="K196" s="109"/>
      <c r="L196" s="109"/>
      <c r="M196" s="109"/>
      <c r="N196" s="109"/>
      <c r="O196" s="109"/>
      <c r="P196" s="107"/>
      <c r="Q196" s="109"/>
      <c r="R196" s="109"/>
      <c r="S196" s="109"/>
      <c r="T196" s="109"/>
      <c r="U196" s="109"/>
      <c r="V196" s="109"/>
      <c r="W196" s="109"/>
      <c r="X196" s="109"/>
      <c r="Y196" s="107"/>
      <c r="Z196" s="109"/>
      <c r="AA196" s="109"/>
      <c r="AB196" s="109"/>
      <c r="AC196" s="109"/>
      <c r="AD196" s="107"/>
      <c r="AE196" s="110"/>
    </row>
    <row r="197" spans="1:31" x14ac:dyDescent="0.35">
      <c r="B197" s="93"/>
      <c r="C197" s="102" t="s">
        <v>492</v>
      </c>
      <c r="D197" s="98">
        <f>D196-D195</f>
        <v>57.316000000000003</v>
      </c>
      <c r="E197" s="99"/>
      <c r="F197" s="100">
        <f>F196-F195-F189</f>
        <v>243.7346</v>
      </c>
      <c r="G197" s="97"/>
      <c r="H197" s="111"/>
      <c r="I197" s="111"/>
      <c r="J197" s="111"/>
      <c r="K197" s="111"/>
      <c r="L197" s="111"/>
      <c r="M197" s="111"/>
      <c r="N197" s="111"/>
      <c r="O197" s="111"/>
      <c r="P197" s="93"/>
      <c r="Q197" s="111"/>
      <c r="R197" s="111"/>
      <c r="S197" s="111"/>
      <c r="T197" s="111"/>
      <c r="U197" s="111"/>
      <c r="V197" s="111"/>
      <c r="W197" s="111"/>
      <c r="X197" s="111"/>
      <c r="Y197" s="93"/>
      <c r="Z197" s="111"/>
      <c r="AA197" s="111"/>
      <c r="AB197" s="111"/>
      <c r="AC197" s="111"/>
      <c r="AD197" s="93"/>
      <c r="AE197" s="112"/>
    </row>
    <row r="198" spans="1:31" x14ac:dyDescent="0.35">
      <c r="A198" s="22">
        <f>A189+1</f>
        <v>29</v>
      </c>
      <c r="B198" s="93" t="s">
        <v>540</v>
      </c>
      <c r="C198" s="94" t="s">
        <v>362</v>
      </c>
      <c r="D198" s="95">
        <v>12.05</v>
      </c>
      <c r="E198" s="96">
        <v>2.7</v>
      </c>
      <c r="F198" s="97">
        <f>D198*E198</f>
        <v>32.535000000000004</v>
      </c>
      <c r="G198" s="97"/>
      <c r="H198" s="98">
        <f>D198</f>
        <v>12.05</v>
      </c>
      <c r="I198" s="99">
        <f>D199</f>
        <v>7.851</v>
      </c>
      <c r="J198" s="99">
        <f>D200</f>
        <v>5.9530000000000003</v>
      </c>
      <c r="K198" s="99"/>
      <c r="L198" s="99"/>
      <c r="M198" s="99"/>
      <c r="N198" s="100"/>
      <c r="O198" s="100">
        <f>D201</f>
        <v>6.4729999999999999</v>
      </c>
      <c r="P198" s="99"/>
      <c r="Q198" s="99">
        <f>E198</f>
        <v>2.7</v>
      </c>
      <c r="R198" s="99">
        <f>E199</f>
        <v>3.15</v>
      </c>
      <c r="S198" s="99">
        <f>E200</f>
        <v>3.85</v>
      </c>
      <c r="T198" s="99"/>
      <c r="U198" s="99"/>
      <c r="V198" s="99"/>
      <c r="W198" s="100"/>
      <c r="X198" s="100">
        <f>E201</f>
        <v>4.6000000000000005</v>
      </c>
      <c r="Y198" s="99">
        <f>H198*Q198</f>
        <v>32.535000000000004</v>
      </c>
      <c r="Z198" s="99">
        <f>I198*R198</f>
        <v>24.730650000000001</v>
      </c>
      <c r="AA198" s="99">
        <f>J198*S198</f>
        <v>22.919050000000002</v>
      </c>
      <c r="AB198" s="99"/>
      <c r="AC198" s="100">
        <f>O198*X198</f>
        <v>29.775800000000004</v>
      </c>
      <c r="AD198" s="99">
        <f>Y198+Z198+AA198+AC198</f>
        <v>109.96050000000001</v>
      </c>
      <c r="AE198" s="99">
        <f>AD198-AC198</f>
        <v>80.184700000000007</v>
      </c>
    </row>
    <row r="199" spans="1:31" x14ac:dyDescent="0.35">
      <c r="B199" s="101"/>
      <c r="C199" s="102" t="s">
        <v>16</v>
      </c>
      <c r="D199" s="98">
        <v>7.851</v>
      </c>
      <c r="E199" s="99">
        <v>3.15</v>
      </c>
      <c r="F199" s="100">
        <f>D199*E199</f>
        <v>24.730650000000001</v>
      </c>
      <c r="G199" s="103"/>
      <c r="H199" s="104"/>
      <c r="I199" s="104"/>
      <c r="J199" s="104"/>
      <c r="K199" s="104"/>
      <c r="L199" s="104"/>
      <c r="M199" s="104"/>
      <c r="N199" s="104"/>
      <c r="O199" s="104"/>
      <c r="P199" s="101"/>
      <c r="Q199" s="104"/>
      <c r="R199" s="104"/>
      <c r="S199" s="104"/>
      <c r="T199" s="104"/>
      <c r="U199" s="104"/>
      <c r="V199" s="104"/>
      <c r="W199" s="104"/>
      <c r="X199" s="104"/>
      <c r="Y199" s="101"/>
      <c r="Z199" s="104"/>
      <c r="AA199" s="104"/>
      <c r="AB199" s="104"/>
      <c r="AC199" s="104"/>
      <c r="AD199" s="101"/>
      <c r="AE199" s="105"/>
    </row>
    <row r="200" spans="1:31" x14ac:dyDescent="0.35">
      <c r="B200" s="106"/>
      <c r="C200" s="102" t="s">
        <v>12</v>
      </c>
      <c r="D200" s="98">
        <v>5.9530000000000003</v>
      </c>
      <c r="E200" s="99">
        <v>3.85</v>
      </c>
      <c r="F200" s="100">
        <f>D200*E200</f>
        <v>22.919050000000002</v>
      </c>
    </row>
    <row r="201" spans="1:31" x14ac:dyDescent="0.35">
      <c r="B201" s="106"/>
      <c r="C201" s="102" t="s">
        <v>13</v>
      </c>
      <c r="D201" s="98">
        <v>6.4729999999999999</v>
      </c>
      <c r="E201" s="99">
        <v>4.6000000000000005</v>
      </c>
      <c r="F201" s="100">
        <f>D201*E201</f>
        <v>29.775800000000004</v>
      </c>
    </row>
    <row r="202" spans="1:31" x14ac:dyDescent="0.35">
      <c r="B202" s="106"/>
      <c r="C202" s="94" t="s">
        <v>491</v>
      </c>
      <c r="D202" s="95">
        <f>SUM(D198:D201)</f>
        <v>32.326999999999998</v>
      </c>
      <c r="E202" s="96"/>
      <c r="F202" s="97">
        <f>SUM(F198:F201)</f>
        <v>109.96050000000001</v>
      </c>
      <c r="I202" s="109"/>
      <c r="J202" s="109"/>
      <c r="K202" s="109"/>
      <c r="L202" s="109"/>
      <c r="M202" s="109"/>
      <c r="N202" s="109"/>
      <c r="O202" s="109"/>
      <c r="P202" s="107"/>
      <c r="Q202" s="109"/>
      <c r="R202" s="109"/>
      <c r="S202" s="109"/>
      <c r="T202" s="109"/>
      <c r="U202" s="109"/>
      <c r="V202" s="109"/>
      <c r="W202" s="109"/>
      <c r="X202" s="109"/>
      <c r="Y202" s="107"/>
      <c r="Z202" s="109"/>
      <c r="AA202" s="109"/>
      <c r="AB202" s="109"/>
      <c r="AC202" s="109"/>
      <c r="AD202" s="107"/>
      <c r="AE202" s="110"/>
    </row>
    <row r="203" spans="1:31" x14ac:dyDescent="0.35">
      <c r="B203" s="93"/>
      <c r="C203" s="102" t="s">
        <v>492</v>
      </c>
      <c r="D203" s="98">
        <f>D202-D201</f>
        <v>25.853999999999999</v>
      </c>
      <c r="E203" s="99"/>
      <c r="F203" s="100">
        <f>F202-F201</f>
        <v>80.184700000000007</v>
      </c>
      <c r="G203" s="97"/>
      <c r="H203" s="111"/>
      <c r="I203" s="111"/>
      <c r="J203" s="111"/>
      <c r="K203" s="111"/>
      <c r="L203" s="111"/>
      <c r="M203" s="111"/>
      <c r="N203" s="111"/>
      <c r="O203" s="111"/>
      <c r="P203" s="93"/>
      <c r="Q203" s="111"/>
      <c r="R203" s="111"/>
      <c r="S203" s="111"/>
      <c r="T203" s="111"/>
      <c r="U203" s="111"/>
      <c r="V203" s="111"/>
      <c r="W203" s="111"/>
      <c r="X203" s="111"/>
      <c r="Y203" s="93"/>
      <c r="Z203" s="111"/>
      <c r="AA203" s="111"/>
      <c r="AB203" s="111"/>
      <c r="AC203" s="111"/>
      <c r="AD203" s="93"/>
      <c r="AE203" s="112"/>
    </row>
    <row r="204" spans="1:31" x14ac:dyDescent="0.35">
      <c r="A204" s="22">
        <f>A198+1</f>
        <v>30</v>
      </c>
      <c r="B204" s="93" t="s">
        <v>541</v>
      </c>
      <c r="C204" s="94" t="s">
        <v>362</v>
      </c>
      <c r="D204" s="95">
        <v>12.05</v>
      </c>
      <c r="E204" s="96">
        <v>2.7</v>
      </c>
      <c r="F204" s="97">
        <f>D204*E204</f>
        <v>32.535000000000004</v>
      </c>
      <c r="G204" s="97"/>
      <c r="H204" s="98">
        <f>D204</f>
        <v>12.05</v>
      </c>
      <c r="I204" s="99">
        <f>D205</f>
        <v>7.8550000000000004</v>
      </c>
      <c r="J204" s="99">
        <f>D206</f>
        <v>7.7290000000000001</v>
      </c>
      <c r="K204" s="99"/>
      <c r="L204" s="99"/>
      <c r="M204" s="99"/>
      <c r="N204" s="100"/>
      <c r="O204" s="100">
        <f>D207</f>
        <v>7.0650000000000004</v>
      </c>
      <c r="P204" s="99"/>
      <c r="Q204" s="99">
        <f>E204</f>
        <v>2.7</v>
      </c>
      <c r="R204" s="99">
        <f>E205</f>
        <v>3.15</v>
      </c>
      <c r="S204" s="99">
        <f>E206</f>
        <v>3.85</v>
      </c>
      <c r="T204" s="99"/>
      <c r="U204" s="99"/>
      <c r="V204" s="99"/>
      <c r="W204" s="100"/>
      <c r="X204" s="100">
        <f>E207</f>
        <v>4.7</v>
      </c>
      <c r="Y204" s="99">
        <f>H204*Q204</f>
        <v>32.535000000000004</v>
      </c>
      <c r="Z204" s="99">
        <f>I204*R204</f>
        <v>24.74325</v>
      </c>
      <c r="AA204" s="99">
        <f>J204*S204</f>
        <v>29.75665</v>
      </c>
      <c r="AB204" s="99"/>
      <c r="AC204" s="100">
        <f>O204*X204</f>
        <v>33.205500000000001</v>
      </c>
      <c r="AD204" s="99">
        <f>Y204+Z204+AA204+AC204</f>
        <v>120.24039999999999</v>
      </c>
      <c r="AE204" s="99">
        <f>AD204-AC204</f>
        <v>87.034899999999993</v>
      </c>
    </row>
    <row r="205" spans="1:31" x14ac:dyDescent="0.35">
      <c r="B205" s="101"/>
      <c r="C205" s="102" t="s">
        <v>16</v>
      </c>
      <c r="D205" s="98">
        <v>7.8550000000000004</v>
      </c>
      <c r="E205" s="99">
        <v>3.15</v>
      </c>
      <c r="F205" s="100">
        <f>D205*E205</f>
        <v>24.74325</v>
      </c>
      <c r="G205" s="103"/>
      <c r="H205" s="104"/>
      <c r="I205" s="104"/>
      <c r="J205" s="104"/>
      <c r="K205" s="104"/>
      <c r="L205" s="104"/>
      <c r="M205" s="104"/>
      <c r="N205" s="104"/>
      <c r="O205" s="104"/>
      <c r="P205" s="101"/>
      <c r="Q205" s="104"/>
      <c r="R205" s="104"/>
      <c r="S205" s="104"/>
      <c r="T205" s="104"/>
      <c r="U205" s="104"/>
      <c r="V205" s="104"/>
      <c r="W205" s="104"/>
      <c r="X205" s="104"/>
      <c r="Y205" s="101"/>
      <c r="Z205" s="104"/>
      <c r="AA205" s="104"/>
      <c r="AB205" s="104"/>
      <c r="AC205" s="104"/>
      <c r="AD205" s="101"/>
      <c r="AE205" s="105"/>
    </row>
    <row r="206" spans="1:31" x14ac:dyDescent="0.35">
      <c r="B206" s="106"/>
      <c r="C206" s="102" t="s">
        <v>12</v>
      </c>
      <c r="D206" s="98">
        <v>7.7290000000000001</v>
      </c>
      <c r="E206" s="99">
        <v>3.85</v>
      </c>
      <c r="F206" s="100">
        <f>D206*E206</f>
        <v>29.75665</v>
      </c>
    </row>
    <row r="207" spans="1:31" x14ac:dyDescent="0.35">
      <c r="B207" s="106"/>
      <c r="C207" s="102" t="s">
        <v>13</v>
      </c>
      <c r="D207" s="98">
        <v>7.0650000000000004</v>
      </c>
      <c r="E207" s="99">
        <v>4.7</v>
      </c>
      <c r="F207" s="100">
        <f>D207*E207</f>
        <v>33.205500000000001</v>
      </c>
    </row>
    <row r="208" spans="1:31" x14ac:dyDescent="0.35">
      <c r="B208" s="106"/>
      <c r="C208" s="94" t="s">
        <v>491</v>
      </c>
      <c r="D208" s="95">
        <f>SUM(D204:D207)</f>
        <v>34.698999999999998</v>
      </c>
      <c r="E208" s="96"/>
      <c r="F208" s="97">
        <f>SUM(F204:F207)</f>
        <v>120.24039999999999</v>
      </c>
      <c r="I208" s="109"/>
      <c r="J208" s="109"/>
      <c r="K208" s="109"/>
      <c r="L208" s="109"/>
      <c r="M208" s="109"/>
      <c r="N208" s="109"/>
      <c r="O208" s="109"/>
      <c r="P208" s="107"/>
      <c r="Q208" s="109"/>
      <c r="R208" s="109"/>
      <c r="S208" s="109"/>
      <c r="T208" s="109"/>
      <c r="U208" s="109"/>
      <c r="V208" s="109"/>
      <c r="W208" s="109"/>
      <c r="X208" s="109"/>
      <c r="Y208" s="107"/>
      <c r="Z208" s="109"/>
      <c r="AA208" s="109"/>
      <c r="AB208" s="109"/>
      <c r="AC208" s="109"/>
      <c r="AD208" s="107"/>
      <c r="AE208" s="110"/>
    </row>
    <row r="209" spans="1:31" x14ac:dyDescent="0.35">
      <c r="B209" s="93"/>
      <c r="C209" s="102" t="s">
        <v>492</v>
      </c>
      <c r="D209" s="98">
        <f>D208-D207</f>
        <v>27.633999999999997</v>
      </c>
      <c r="E209" s="99"/>
      <c r="F209" s="100">
        <f>F208-F207</f>
        <v>87.034899999999993</v>
      </c>
      <c r="G209" s="97"/>
      <c r="H209" s="111"/>
      <c r="I209" s="111"/>
      <c r="J209" s="111"/>
      <c r="K209" s="111"/>
      <c r="L209" s="111"/>
      <c r="M209" s="111"/>
      <c r="N209" s="111"/>
      <c r="O209" s="111"/>
      <c r="P209" s="93"/>
      <c r="Q209" s="111"/>
      <c r="R209" s="111"/>
      <c r="S209" s="111"/>
      <c r="T209" s="111"/>
      <c r="U209" s="111"/>
      <c r="V209" s="111"/>
      <c r="W209" s="111"/>
      <c r="X209" s="111"/>
      <c r="Y209" s="93"/>
      <c r="Z209" s="111"/>
      <c r="AA209" s="111"/>
      <c r="AB209" s="111"/>
      <c r="AC209" s="111"/>
      <c r="AD209" s="93"/>
      <c r="AE209" s="112"/>
    </row>
    <row r="210" spans="1:31" x14ac:dyDescent="0.35">
      <c r="A210" s="22">
        <f>A204+1</f>
        <v>31</v>
      </c>
      <c r="B210" s="93" t="s">
        <v>542</v>
      </c>
      <c r="C210" s="94" t="s">
        <v>362</v>
      </c>
      <c r="D210" s="95">
        <v>9.5820000000000007</v>
      </c>
      <c r="E210" s="96">
        <v>2.7</v>
      </c>
      <c r="F210" s="97">
        <f>D210*E210</f>
        <v>25.871400000000005</v>
      </c>
      <c r="G210" s="97"/>
      <c r="H210" s="98">
        <f>D210</f>
        <v>9.5820000000000007</v>
      </c>
      <c r="I210" s="99">
        <f>D211</f>
        <v>5.3179999999999996</v>
      </c>
      <c r="J210" s="99">
        <f>D212</f>
        <v>7.0679999999999996</v>
      </c>
      <c r="K210" s="99"/>
      <c r="L210" s="99"/>
      <c r="M210" s="99"/>
      <c r="N210" s="100"/>
      <c r="O210" s="100">
        <f>D213</f>
        <v>2.4</v>
      </c>
      <c r="P210" s="99"/>
      <c r="Q210" s="99">
        <f>E210</f>
        <v>2.7</v>
      </c>
      <c r="R210" s="99">
        <f>E211</f>
        <v>3.1</v>
      </c>
      <c r="S210" s="99">
        <f>E212</f>
        <v>4.05</v>
      </c>
      <c r="T210" s="99"/>
      <c r="U210" s="99"/>
      <c r="V210" s="99"/>
      <c r="W210" s="100"/>
      <c r="X210" s="100">
        <f>E213</f>
        <v>4.7</v>
      </c>
      <c r="Y210" s="99">
        <f>H210*Q210</f>
        <v>25.871400000000005</v>
      </c>
      <c r="Z210" s="99">
        <f>I210*R210</f>
        <v>16.485799999999998</v>
      </c>
      <c r="AA210" s="99">
        <f>J210*S210</f>
        <v>28.625399999999996</v>
      </c>
      <c r="AB210" s="99"/>
      <c r="AC210" s="100">
        <f>O210*X210</f>
        <v>11.28</v>
      </c>
      <c r="AD210" s="99">
        <f>Y210+Z210+AA210+AC210</f>
        <v>82.262600000000006</v>
      </c>
      <c r="AE210" s="99">
        <f>AD210-AC210</f>
        <v>70.982600000000005</v>
      </c>
    </row>
    <row r="211" spans="1:31" x14ac:dyDescent="0.35">
      <c r="B211" s="101"/>
      <c r="C211" s="102" t="s">
        <v>16</v>
      </c>
      <c r="D211" s="98">
        <v>5.3179999999999996</v>
      </c>
      <c r="E211" s="99">
        <v>3.1</v>
      </c>
      <c r="F211" s="100">
        <f>D211*E211</f>
        <v>16.485799999999998</v>
      </c>
      <c r="G211" s="103"/>
      <c r="H211" s="104"/>
      <c r="I211" s="104"/>
      <c r="J211" s="104"/>
      <c r="K211" s="104"/>
      <c r="L211" s="104"/>
      <c r="M211" s="104"/>
      <c r="N211" s="104"/>
      <c r="O211" s="104"/>
      <c r="P211" s="101"/>
      <c r="Q211" s="104"/>
      <c r="R211" s="104"/>
      <c r="S211" s="104"/>
      <c r="T211" s="104"/>
      <c r="U211" s="104"/>
      <c r="V211" s="104"/>
      <c r="W211" s="104"/>
      <c r="X211" s="104"/>
      <c r="Y211" s="101"/>
      <c r="Z211" s="104"/>
      <c r="AA211" s="104"/>
      <c r="AB211" s="104"/>
      <c r="AC211" s="104"/>
      <c r="AD211" s="101"/>
      <c r="AE211" s="105"/>
    </row>
    <row r="212" spans="1:31" x14ac:dyDescent="0.35">
      <c r="B212" s="106"/>
      <c r="C212" s="102" t="s">
        <v>12</v>
      </c>
      <c r="D212" s="98">
        <v>7.0679999999999996</v>
      </c>
      <c r="E212" s="99">
        <v>4.05</v>
      </c>
      <c r="F212" s="100">
        <f>D212*E212</f>
        <v>28.625399999999996</v>
      </c>
    </row>
    <row r="213" spans="1:31" x14ac:dyDescent="0.35">
      <c r="B213" s="106"/>
      <c r="C213" s="102" t="s">
        <v>13</v>
      </c>
      <c r="D213" s="98">
        <v>2.4</v>
      </c>
      <c r="E213" s="99">
        <v>4.7</v>
      </c>
      <c r="F213" s="100">
        <f>D213*E213</f>
        <v>11.28</v>
      </c>
    </row>
    <row r="214" spans="1:31" x14ac:dyDescent="0.35">
      <c r="B214" s="106"/>
      <c r="C214" s="94" t="s">
        <v>491</v>
      </c>
      <c r="D214" s="95">
        <f>SUM(D210:D213)</f>
        <v>24.367999999999999</v>
      </c>
      <c r="E214" s="96"/>
      <c r="F214" s="97">
        <f>SUM(F210:F213)</f>
        <v>82.262600000000006</v>
      </c>
      <c r="I214" s="109"/>
      <c r="J214" s="109"/>
      <c r="K214" s="109"/>
      <c r="L214" s="109"/>
      <c r="M214" s="109"/>
      <c r="N214" s="109"/>
      <c r="O214" s="109"/>
      <c r="P214" s="107"/>
      <c r="Q214" s="109"/>
      <c r="R214" s="109"/>
      <c r="S214" s="109"/>
      <c r="T214" s="109"/>
      <c r="U214" s="109"/>
      <c r="V214" s="109"/>
      <c r="W214" s="109"/>
      <c r="X214" s="109"/>
      <c r="Y214" s="107"/>
      <c r="Z214" s="109"/>
      <c r="AA214" s="109"/>
      <c r="AB214" s="109"/>
      <c r="AC214" s="109"/>
      <c r="AD214" s="107"/>
      <c r="AE214" s="110"/>
    </row>
    <row r="215" spans="1:31" x14ac:dyDescent="0.35">
      <c r="B215" s="93"/>
      <c r="C215" s="102" t="s">
        <v>492</v>
      </c>
      <c r="D215" s="98">
        <f>D214-D213</f>
        <v>21.968</v>
      </c>
      <c r="E215" s="99"/>
      <c r="F215" s="100">
        <f>F214-F213</f>
        <v>70.982600000000005</v>
      </c>
      <c r="G215" s="97"/>
      <c r="H215" s="111"/>
      <c r="I215" s="111"/>
      <c r="J215" s="111"/>
      <c r="K215" s="111"/>
      <c r="L215" s="111"/>
      <c r="M215" s="111"/>
      <c r="N215" s="111"/>
      <c r="O215" s="111"/>
      <c r="P215" s="93"/>
      <c r="Q215" s="111"/>
      <c r="R215" s="111"/>
      <c r="S215" s="111"/>
      <c r="T215" s="111"/>
      <c r="U215" s="111"/>
      <c r="V215" s="111"/>
      <c r="W215" s="111"/>
      <c r="X215" s="111"/>
      <c r="Y215" s="93"/>
      <c r="Z215" s="111"/>
      <c r="AA215" s="111"/>
      <c r="AB215" s="111"/>
      <c r="AC215" s="111"/>
      <c r="AD215" s="93"/>
      <c r="AE215" s="112"/>
    </row>
    <row r="216" spans="1:31" x14ac:dyDescent="0.35">
      <c r="A216" s="22">
        <f>A210+1</f>
        <v>32</v>
      </c>
      <c r="B216" s="93" t="s">
        <v>543</v>
      </c>
      <c r="C216" s="94" t="s">
        <v>362</v>
      </c>
      <c r="D216" s="95">
        <v>14.464</v>
      </c>
      <c r="E216" s="96">
        <v>2.7</v>
      </c>
      <c r="F216" s="97">
        <f>D216*E216</f>
        <v>39.052800000000005</v>
      </c>
      <c r="G216" s="97"/>
      <c r="H216" s="98">
        <f>D216</f>
        <v>14.464</v>
      </c>
      <c r="I216" s="99">
        <f>D217</f>
        <v>10.362</v>
      </c>
      <c r="J216" s="99">
        <f>D218</f>
        <v>8.4039999999999999</v>
      </c>
      <c r="K216" s="99"/>
      <c r="L216" s="99"/>
      <c r="M216" s="99"/>
      <c r="N216" s="100"/>
      <c r="O216" s="100">
        <f>D219</f>
        <v>7.0650000000000004</v>
      </c>
      <c r="P216" s="99"/>
      <c r="Q216" s="99">
        <f>E216</f>
        <v>2.7</v>
      </c>
      <c r="R216" s="99">
        <f>E217</f>
        <v>3.15</v>
      </c>
      <c r="S216" s="99">
        <f>E218</f>
        <v>3.85</v>
      </c>
      <c r="T216" s="99"/>
      <c r="U216" s="99"/>
      <c r="V216" s="99"/>
      <c r="W216" s="100"/>
      <c r="X216" s="100">
        <f>E219</f>
        <v>4.7</v>
      </c>
      <c r="Y216" s="99">
        <f>H216*Q216</f>
        <v>39.052800000000005</v>
      </c>
      <c r="Z216" s="99">
        <f>I216*R216</f>
        <v>32.640299999999996</v>
      </c>
      <c r="AA216" s="99">
        <f>J216*S216</f>
        <v>32.355400000000003</v>
      </c>
      <c r="AB216" s="99"/>
      <c r="AC216" s="100">
        <f>O216*X216</f>
        <v>33.205500000000001</v>
      </c>
      <c r="AD216" s="99">
        <f>Y216+Z216+AA216+AC216</f>
        <v>137.25400000000002</v>
      </c>
      <c r="AE216" s="99">
        <f>AD216-AC216</f>
        <v>104.04850000000002</v>
      </c>
    </row>
    <row r="217" spans="1:31" x14ac:dyDescent="0.35">
      <c r="B217" s="101"/>
      <c r="C217" s="102" t="s">
        <v>16</v>
      </c>
      <c r="D217" s="98">
        <v>10.362</v>
      </c>
      <c r="E217" s="99">
        <v>3.15</v>
      </c>
      <c r="F217" s="100">
        <f>D217*E217</f>
        <v>32.640299999999996</v>
      </c>
      <c r="G217" s="103"/>
      <c r="H217" s="104"/>
      <c r="I217" s="104"/>
      <c r="J217" s="104"/>
      <c r="K217" s="104"/>
      <c r="L217" s="104"/>
      <c r="M217" s="104"/>
      <c r="N217" s="104"/>
      <c r="O217" s="104"/>
      <c r="P217" s="101"/>
      <c r="Q217" s="104"/>
      <c r="R217" s="104"/>
      <c r="S217" s="104"/>
      <c r="T217" s="104"/>
      <c r="U217" s="104"/>
      <c r="V217" s="104"/>
      <c r="W217" s="104"/>
      <c r="X217" s="104"/>
      <c r="Y217" s="101"/>
      <c r="Z217" s="104"/>
      <c r="AA217" s="104"/>
      <c r="AB217" s="104"/>
      <c r="AC217" s="104"/>
      <c r="AD217" s="101"/>
      <c r="AE217" s="105"/>
    </row>
    <row r="218" spans="1:31" x14ac:dyDescent="0.35">
      <c r="B218" s="106"/>
      <c r="C218" s="102" t="s">
        <v>12</v>
      </c>
      <c r="D218" s="98">
        <v>8.4039999999999999</v>
      </c>
      <c r="E218" s="99">
        <v>3.85</v>
      </c>
      <c r="F218" s="100">
        <f>D218*E218</f>
        <v>32.355400000000003</v>
      </c>
    </row>
    <row r="219" spans="1:31" x14ac:dyDescent="0.35">
      <c r="B219" s="106"/>
      <c r="C219" s="102" t="s">
        <v>13</v>
      </c>
      <c r="D219" s="98">
        <v>7.0650000000000004</v>
      </c>
      <c r="E219" s="99">
        <v>4.7</v>
      </c>
      <c r="F219" s="100">
        <f>D219*E219</f>
        <v>33.205500000000001</v>
      </c>
    </row>
    <row r="220" spans="1:31" x14ac:dyDescent="0.35">
      <c r="B220" s="106"/>
      <c r="C220" s="94" t="s">
        <v>491</v>
      </c>
      <c r="D220" s="95">
        <f>SUM(D216:D219)</f>
        <v>40.295000000000002</v>
      </c>
      <c r="E220" s="96"/>
      <c r="F220" s="97">
        <f>SUM(F216:F219)</f>
        <v>137.25400000000002</v>
      </c>
      <c r="I220" s="109"/>
      <c r="J220" s="109"/>
      <c r="K220" s="109"/>
      <c r="L220" s="109"/>
      <c r="M220" s="109"/>
      <c r="N220" s="109"/>
      <c r="O220" s="109"/>
      <c r="P220" s="107"/>
      <c r="Q220" s="109"/>
      <c r="R220" s="109"/>
      <c r="S220" s="109"/>
      <c r="T220" s="109"/>
      <c r="U220" s="109"/>
      <c r="V220" s="109"/>
      <c r="W220" s="109"/>
      <c r="X220" s="109"/>
      <c r="Y220" s="107"/>
      <c r="Z220" s="109"/>
      <c r="AA220" s="109"/>
      <c r="AB220" s="109"/>
      <c r="AC220" s="109"/>
      <c r="AD220" s="107"/>
      <c r="AE220" s="110"/>
    </row>
    <row r="221" spans="1:31" x14ac:dyDescent="0.35">
      <c r="B221" s="93"/>
      <c r="C221" s="102" t="s">
        <v>492</v>
      </c>
      <c r="D221" s="98">
        <f>D220-D219</f>
        <v>33.230000000000004</v>
      </c>
      <c r="E221" s="99"/>
      <c r="F221" s="100">
        <f>F220-F219</f>
        <v>104.04850000000002</v>
      </c>
      <c r="G221" s="97"/>
      <c r="H221" s="111"/>
      <c r="I221" s="111"/>
      <c r="J221" s="111"/>
      <c r="K221" s="111"/>
      <c r="L221" s="111"/>
      <c r="M221" s="111"/>
      <c r="N221" s="111"/>
      <c r="O221" s="111"/>
      <c r="P221" s="93"/>
      <c r="Q221" s="111"/>
      <c r="R221" s="111"/>
      <c r="S221" s="111"/>
      <c r="T221" s="111"/>
      <c r="U221" s="111"/>
      <c r="V221" s="111"/>
      <c r="W221" s="111"/>
      <c r="X221" s="111"/>
      <c r="Y221" s="93"/>
      <c r="Z221" s="111"/>
      <c r="AA221" s="111"/>
      <c r="AB221" s="111"/>
      <c r="AC221" s="111"/>
      <c r="AD221" s="93"/>
      <c r="AE221" s="112"/>
    </row>
    <row r="222" spans="1:31" x14ac:dyDescent="0.35">
      <c r="A222" s="22">
        <f>A216+1</f>
        <v>33</v>
      </c>
      <c r="B222" s="93" t="s">
        <v>544</v>
      </c>
      <c r="C222" s="94" t="s">
        <v>362</v>
      </c>
      <c r="D222" s="95">
        <v>14.464</v>
      </c>
      <c r="E222" s="96">
        <v>2.7</v>
      </c>
      <c r="F222" s="97">
        <f>D222*E222</f>
        <v>39.052800000000005</v>
      </c>
      <c r="G222" s="97"/>
      <c r="H222" s="98">
        <f>D222</f>
        <v>14.464</v>
      </c>
      <c r="I222" s="99">
        <f>D223</f>
        <v>10.362</v>
      </c>
      <c r="J222" s="99">
        <f>D224</f>
        <v>8.4039999999999999</v>
      </c>
      <c r="K222" s="99"/>
      <c r="L222" s="99"/>
      <c r="M222" s="99"/>
      <c r="N222" s="100"/>
      <c r="O222" s="100">
        <f>D225</f>
        <v>7.69</v>
      </c>
      <c r="P222" s="99"/>
      <c r="Q222" s="99">
        <f>E222</f>
        <v>2.7</v>
      </c>
      <c r="R222" s="99">
        <f>E223</f>
        <v>3.15</v>
      </c>
      <c r="S222" s="99">
        <f>E224</f>
        <v>3.85</v>
      </c>
      <c r="T222" s="99"/>
      <c r="U222" s="99"/>
      <c r="V222" s="99"/>
      <c r="W222" s="100"/>
      <c r="X222" s="100">
        <f>E225</f>
        <v>4.7</v>
      </c>
      <c r="Y222" s="99">
        <f>H222*Q222</f>
        <v>39.052800000000005</v>
      </c>
      <c r="Z222" s="99">
        <f>I222*R222</f>
        <v>32.640299999999996</v>
      </c>
      <c r="AA222" s="99">
        <f>J222*S222</f>
        <v>32.355400000000003</v>
      </c>
      <c r="AB222" s="99"/>
      <c r="AC222" s="100">
        <f>O222*X222</f>
        <v>36.143000000000001</v>
      </c>
      <c r="AD222" s="99">
        <f>Y222+Z222+AA222+AC222</f>
        <v>140.19150000000002</v>
      </c>
      <c r="AE222" s="99">
        <f>AD222-AC222</f>
        <v>104.04850000000002</v>
      </c>
    </row>
    <row r="223" spans="1:31" x14ac:dyDescent="0.35">
      <c r="B223" s="101"/>
      <c r="C223" s="102" t="s">
        <v>16</v>
      </c>
      <c r="D223" s="98">
        <v>10.362</v>
      </c>
      <c r="E223" s="99">
        <v>3.15</v>
      </c>
      <c r="F223" s="100">
        <f>D223*E223</f>
        <v>32.640299999999996</v>
      </c>
      <c r="G223" s="103"/>
      <c r="H223" s="104"/>
      <c r="I223" s="104"/>
      <c r="J223" s="104"/>
      <c r="K223" s="104"/>
      <c r="L223" s="104"/>
      <c r="M223" s="104"/>
      <c r="N223" s="104"/>
      <c r="O223" s="104"/>
      <c r="P223" s="101"/>
      <c r="Q223" s="104"/>
      <c r="R223" s="104"/>
      <c r="S223" s="104"/>
      <c r="T223" s="104"/>
      <c r="U223" s="104"/>
      <c r="V223" s="104"/>
      <c r="W223" s="104"/>
      <c r="X223" s="104"/>
      <c r="Y223" s="101"/>
      <c r="Z223" s="104"/>
      <c r="AA223" s="104"/>
      <c r="AB223" s="104"/>
      <c r="AC223" s="104"/>
      <c r="AD223" s="101"/>
      <c r="AE223" s="105"/>
    </row>
    <row r="224" spans="1:31" x14ac:dyDescent="0.35">
      <c r="B224" s="106"/>
      <c r="C224" s="102" t="s">
        <v>12</v>
      </c>
      <c r="D224" s="98">
        <v>8.4039999999999999</v>
      </c>
      <c r="E224" s="99">
        <v>3.85</v>
      </c>
      <c r="F224" s="100">
        <f>D224*E224</f>
        <v>32.355400000000003</v>
      </c>
    </row>
    <row r="225" spans="1:31" x14ac:dyDescent="0.35">
      <c r="B225" s="106"/>
      <c r="C225" s="102" t="s">
        <v>13</v>
      </c>
      <c r="D225" s="98">
        <v>7.69</v>
      </c>
      <c r="E225" s="99">
        <v>4.7</v>
      </c>
      <c r="F225" s="100">
        <f>D225*E225</f>
        <v>36.143000000000001</v>
      </c>
    </row>
    <row r="226" spans="1:31" x14ac:dyDescent="0.35">
      <c r="B226" s="106"/>
      <c r="C226" s="94" t="s">
        <v>491</v>
      </c>
      <c r="D226" s="95">
        <f>SUM(D222:D225)</f>
        <v>40.92</v>
      </c>
      <c r="E226" s="96"/>
      <c r="F226" s="97">
        <f>SUM(F222:F225)</f>
        <v>140.19150000000002</v>
      </c>
      <c r="I226" s="109"/>
      <c r="J226" s="109"/>
      <c r="K226" s="109"/>
      <c r="L226" s="109"/>
      <c r="M226" s="109"/>
      <c r="N226" s="109"/>
      <c r="O226" s="109"/>
      <c r="P226" s="107"/>
      <c r="Q226" s="109"/>
      <c r="R226" s="109"/>
      <c r="S226" s="109"/>
      <c r="T226" s="109"/>
      <c r="U226" s="109"/>
      <c r="V226" s="109"/>
      <c r="W226" s="109"/>
      <c r="X226" s="109"/>
      <c r="Y226" s="107"/>
      <c r="Z226" s="109"/>
      <c r="AA226" s="109"/>
      <c r="AB226" s="109"/>
      <c r="AC226" s="109"/>
      <c r="AD226" s="107"/>
      <c r="AE226" s="110"/>
    </row>
    <row r="227" spans="1:31" x14ac:dyDescent="0.35">
      <c r="B227" s="93"/>
      <c r="C227" s="102" t="s">
        <v>492</v>
      </c>
      <c r="D227" s="98">
        <f>D226-D225</f>
        <v>33.230000000000004</v>
      </c>
      <c r="E227" s="99"/>
      <c r="F227" s="100">
        <f>F226-F225</f>
        <v>104.04850000000002</v>
      </c>
      <c r="G227" s="97"/>
      <c r="H227" s="111"/>
      <c r="I227" s="111"/>
      <c r="J227" s="111"/>
      <c r="K227" s="111"/>
      <c r="L227" s="111"/>
      <c r="M227" s="111"/>
      <c r="N227" s="111"/>
      <c r="O227" s="111"/>
      <c r="P227" s="93"/>
      <c r="Q227" s="111"/>
      <c r="R227" s="111"/>
      <c r="S227" s="111"/>
      <c r="T227" s="111"/>
      <c r="U227" s="111"/>
      <c r="V227" s="111"/>
      <c r="W227" s="111"/>
      <c r="X227" s="111"/>
      <c r="Y227" s="93"/>
      <c r="Z227" s="111"/>
      <c r="AA227" s="111"/>
      <c r="AB227" s="111"/>
      <c r="AC227" s="111"/>
      <c r="AD227" s="93"/>
      <c r="AE227" s="112"/>
    </row>
    <row r="228" spans="1:31" x14ac:dyDescent="0.35">
      <c r="A228" s="22">
        <f>A222+1</f>
        <v>34</v>
      </c>
      <c r="B228" s="93" t="s">
        <v>545</v>
      </c>
      <c r="C228" s="94" t="s">
        <v>362</v>
      </c>
      <c r="D228" s="95">
        <v>14.464</v>
      </c>
      <c r="E228" s="96">
        <v>2.6</v>
      </c>
      <c r="F228" s="97">
        <f>D228*E228</f>
        <v>37.606400000000001</v>
      </c>
      <c r="G228" s="97"/>
      <c r="H228" s="98">
        <f>D228</f>
        <v>14.464</v>
      </c>
      <c r="I228" s="99">
        <f>D229</f>
        <v>11.593</v>
      </c>
      <c r="J228" s="99">
        <f>D230</f>
        <v>11.752000000000001</v>
      </c>
      <c r="K228" s="99"/>
      <c r="L228" s="99"/>
      <c r="M228" s="99"/>
      <c r="N228" s="100"/>
      <c r="O228" s="100">
        <f>D231</f>
        <v>9.4749999999999996</v>
      </c>
      <c r="P228" s="99"/>
      <c r="Q228" s="99">
        <f>E228</f>
        <v>2.6</v>
      </c>
      <c r="R228" s="99">
        <f>E229</f>
        <v>3.2</v>
      </c>
      <c r="S228" s="99">
        <f>E230</f>
        <v>4</v>
      </c>
      <c r="T228" s="99"/>
      <c r="U228" s="99"/>
      <c r="V228" s="99"/>
      <c r="W228" s="100"/>
      <c r="X228" s="100">
        <f>E231</f>
        <v>4.7</v>
      </c>
      <c r="Y228" s="99">
        <f>H228*Q228</f>
        <v>37.606400000000001</v>
      </c>
      <c r="Z228" s="99">
        <f>I228*R228</f>
        <v>37.0976</v>
      </c>
      <c r="AA228" s="99">
        <f>J228*S228</f>
        <v>47.008000000000003</v>
      </c>
      <c r="AB228" s="99"/>
      <c r="AC228" s="100">
        <f>O228*X228</f>
        <v>44.532499999999999</v>
      </c>
      <c r="AD228" s="99">
        <f>Y228+Z228+AA228+AC228</f>
        <v>166.24450000000002</v>
      </c>
      <c r="AE228" s="99">
        <f>AD228-AC228</f>
        <v>121.71200000000002</v>
      </c>
    </row>
    <row r="229" spans="1:31" x14ac:dyDescent="0.35">
      <c r="B229" s="101"/>
      <c r="C229" s="102" t="s">
        <v>16</v>
      </c>
      <c r="D229" s="98">
        <v>11.593</v>
      </c>
      <c r="E229" s="99">
        <v>3.2</v>
      </c>
      <c r="F229" s="100">
        <f>D229*E229</f>
        <v>37.0976</v>
      </c>
      <c r="G229" s="103"/>
      <c r="H229" s="104"/>
      <c r="I229" s="104"/>
      <c r="J229" s="104"/>
      <c r="K229" s="104"/>
      <c r="L229" s="104"/>
      <c r="M229" s="104"/>
      <c r="N229" s="104"/>
      <c r="O229" s="104"/>
      <c r="P229" s="101"/>
      <c r="Q229" s="104"/>
      <c r="R229" s="104"/>
      <c r="S229" s="104"/>
      <c r="T229" s="104"/>
      <c r="U229" s="104"/>
      <c r="V229" s="104"/>
      <c r="W229" s="104"/>
      <c r="X229" s="104"/>
      <c r="Y229" s="101"/>
      <c r="Z229" s="104"/>
      <c r="AA229" s="104"/>
      <c r="AB229" s="104"/>
      <c r="AC229" s="104"/>
      <c r="AD229" s="101"/>
      <c r="AE229" s="105"/>
    </row>
    <row r="230" spans="1:31" x14ac:dyDescent="0.35">
      <c r="B230" s="106"/>
      <c r="C230" s="102" t="s">
        <v>12</v>
      </c>
      <c r="D230" s="98">
        <v>11.752000000000001</v>
      </c>
      <c r="E230" s="99">
        <v>4</v>
      </c>
      <c r="F230" s="100">
        <f>D230*E230</f>
        <v>47.008000000000003</v>
      </c>
    </row>
    <row r="231" spans="1:31" x14ac:dyDescent="0.35">
      <c r="B231" s="106"/>
      <c r="C231" s="102" t="s">
        <v>13</v>
      </c>
      <c r="D231" s="98">
        <v>9.4749999999999996</v>
      </c>
      <c r="E231" s="99">
        <v>4.7</v>
      </c>
      <c r="F231" s="100">
        <f>D231*E231</f>
        <v>44.532499999999999</v>
      </c>
    </row>
    <row r="232" spans="1:31" x14ac:dyDescent="0.35">
      <c r="B232" s="106"/>
      <c r="C232" s="94" t="s">
        <v>491</v>
      </c>
      <c r="D232" s="95">
        <f>SUM(D228:D231)</f>
        <v>47.284000000000006</v>
      </c>
      <c r="E232" s="96"/>
      <c r="F232" s="97">
        <f>SUM(F228:F231)</f>
        <v>166.24450000000002</v>
      </c>
      <c r="I232" s="109"/>
      <c r="J232" s="109"/>
      <c r="K232" s="109"/>
      <c r="L232" s="109"/>
      <c r="M232" s="109"/>
      <c r="N232" s="109"/>
      <c r="O232" s="109"/>
      <c r="P232" s="107"/>
      <c r="Q232" s="109"/>
      <c r="R232" s="109"/>
      <c r="S232" s="109"/>
      <c r="T232" s="109"/>
      <c r="U232" s="109"/>
      <c r="V232" s="109"/>
      <c r="W232" s="109"/>
      <c r="X232" s="109"/>
      <c r="Y232" s="107"/>
      <c r="Z232" s="109"/>
      <c r="AA232" s="109"/>
      <c r="AB232" s="109"/>
      <c r="AC232" s="109"/>
      <c r="AD232" s="107"/>
      <c r="AE232" s="110"/>
    </row>
    <row r="233" spans="1:31" x14ac:dyDescent="0.35">
      <c r="B233" s="93"/>
      <c r="C233" s="102" t="s">
        <v>492</v>
      </c>
      <c r="D233" s="98">
        <f>D232-D231</f>
        <v>37.809000000000005</v>
      </c>
      <c r="E233" s="99"/>
      <c r="F233" s="100">
        <f>F232-F231</f>
        <v>121.71200000000002</v>
      </c>
      <c r="G233" s="97"/>
      <c r="H233" s="111"/>
      <c r="I233" s="111"/>
      <c r="J233" s="111"/>
      <c r="K233" s="111"/>
      <c r="L233" s="111"/>
      <c r="M233" s="111"/>
      <c r="N233" s="111"/>
      <c r="O233" s="111"/>
      <c r="P233" s="93"/>
      <c r="Q233" s="111"/>
      <c r="R233" s="111"/>
      <c r="S233" s="111"/>
      <c r="T233" s="111"/>
      <c r="U233" s="111"/>
      <c r="V233" s="111"/>
      <c r="W233" s="111"/>
      <c r="X233" s="111"/>
      <c r="Y233" s="93"/>
      <c r="Z233" s="111"/>
      <c r="AA233" s="111"/>
      <c r="AB233" s="111"/>
      <c r="AC233" s="111"/>
      <c r="AD233" s="93"/>
      <c r="AE233" s="112"/>
    </row>
    <row r="234" spans="1:31" x14ac:dyDescent="0.35">
      <c r="A234" s="22">
        <f>A228+1</f>
        <v>35</v>
      </c>
      <c r="B234" s="93" t="s">
        <v>546</v>
      </c>
      <c r="C234" s="94" t="s">
        <v>362</v>
      </c>
      <c r="D234" s="95">
        <v>17.504000000000001</v>
      </c>
      <c r="E234" s="96">
        <v>2.65</v>
      </c>
      <c r="F234" s="97">
        <f>D234*E234</f>
        <v>46.385600000000004</v>
      </c>
      <c r="G234" s="97"/>
      <c r="H234" s="98">
        <f>D234</f>
        <v>17.504000000000001</v>
      </c>
      <c r="I234" s="99">
        <f>D235</f>
        <v>15.686</v>
      </c>
      <c r="J234" s="99">
        <f>D236</f>
        <v>8.4039999999999999</v>
      </c>
      <c r="K234" s="99"/>
      <c r="L234" s="99"/>
      <c r="M234" s="99"/>
      <c r="N234" s="100"/>
      <c r="O234" s="100">
        <f>D237</f>
        <v>10.659000000000001</v>
      </c>
      <c r="P234" s="99"/>
      <c r="Q234" s="99">
        <f>E234</f>
        <v>2.65</v>
      </c>
      <c r="R234" s="99">
        <f>E235</f>
        <v>3.1</v>
      </c>
      <c r="S234" s="99">
        <f>E236</f>
        <v>3.8000000000000003</v>
      </c>
      <c r="T234" s="99"/>
      <c r="U234" s="99"/>
      <c r="V234" s="99"/>
      <c r="W234" s="100"/>
      <c r="X234" s="100">
        <f>E237</f>
        <v>4.7</v>
      </c>
      <c r="Y234" s="99">
        <f>H234*Q234</f>
        <v>46.385600000000004</v>
      </c>
      <c r="Z234" s="99">
        <f>I234*R234</f>
        <v>48.626600000000003</v>
      </c>
      <c r="AA234" s="99">
        <f>J234*S234</f>
        <v>31.935200000000002</v>
      </c>
      <c r="AB234" s="99"/>
      <c r="AC234" s="100">
        <f>O234*X234</f>
        <v>50.097300000000004</v>
      </c>
      <c r="AD234" s="99">
        <f>Y234+Z234+AA234+AC234</f>
        <v>177.04470000000003</v>
      </c>
      <c r="AE234" s="99">
        <f>AD234-AC234</f>
        <v>126.94740000000003</v>
      </c>
    </row>
    <row r="235" spans="1:31" x14ac:dyDescent="0.35">
      <c r="B235" s="101"/>
      <c r="C235" s="102" t="s">
        <v>16</v>
      </c>
      <c r="D235" s="98">
        <v>15.686</v>
      </c>
      <c r="E235" s="99">
        <v>3.1</v>
      </c>
      <c r="F235" s="100">
        <f>D235*E235</f>
        <v>48.626600000000003</v>
      </c>
      <c r="G235" s="103"/>
      <c r="H235" s="104"/>
      <c r="I235" s="104"/>
      <c r="J235" s="104"/>
      <c r="K235" s="104"/>
      <c r="L235" s="104"/>
      <c r="M235" s="104"/>
      <c r="N235" s="104"/>
      <c r="O235" s="104"/>
      <c r="P235" s="101"/>
      <c r="Q235" s="104"/>
      <c r="R235" s="104"/>
      <c r="S235" s="104"/>
      <c r="T235" s="104"/>
      <c r="U235" s="104"/>
      <c r="V235" s="104"/>
      <c r="W235" s="104"/>
      <c r="X235" s="104"/>
      <c r="Y235" s="101"/>
      <c r="Z235" s="104"/>
      <c r="AA235" s="104"/>
      <c r="AB235" s="104"/>
      <c r="AC235" s="104"/>
      <c r="AD235" s="101"/>
      <c r="AE235" s="105"/>
    </row>
    <row r="236" spans="1:31" x14ac:dyDescent="0.35">
      <c r="B236" s="106"/>
      <c r="C236" s="102" t="s">
        <v>12</v>
      </c>
      <c r="D236" s="98">
        <v>8.4039999999999999</v>
      </c>
      <c r="E236" s="99">
        <v>3.8000000000000003</v>
      </c>
      <c r="F236" s="100">
        <f>D236*E236</f>
        <v>31.935200000000002</v>
      </c>
    </row>
    <row r="237" spans="1:31" x14ac:dyDescent="0.35">
      <c r="B237" s="106"/>
      <c r="C237" s="102" t="s">
        <v>13</v>
      </c>
      <c r="D237" s="98">
        <v>10.659000000000001</v>
      </c>
      <c r="E237" s="99">
        <v>4.7</v>
      </c>
      <c r="F237" s="100">
        <f>D237*E237</f>
        <v>50.097300000000004</v>
      </c>
    </row>
    <row r="238" spans="1:31" x14ac:dyDescent="0.35">
      <c r="B238" s="106"/>
      <c r="C238" s="94" t="s">
        <v>491</v>
      </c>
      <c r="D238" s="95">
        <f>SUM(D234:D237)</f>
        <v>52.252999999999993</v>
      </c>
      <c r="E238" s="96"/>
      <c r="F238" s="97">
        <f>SUM(F234:F237)</f>
        <v>177.04470000000003</v>
      </c>
      <c r="I238" s="109"/>
      <c r="J238" s="109"/>
      <c r="K238" s="109"/>
      <c r="L238" s="109"/>
      <c r="M238" s="109"/>
      <c r="N238" s="109"/>
      <c r="O238" s="109"/>
      <c r="P238" s="107"/>
      <c r="Q238" s="109"/>
      <c r="R238" s="109"/>
      <c r="S238" s="109"/>
      <c r="T238" s="109"/>
      <c r="U238" s="109"/>
      <c r="V238" s="109"/>
      <c r="W238" s="109"/>
      <c r="X238" s="109"/>
      <c r="Y238" s="107"/>
      <c r="Z238" s="109"/>
      <c r="AA238" s="109"/>
      <c r="AB238" s="109"/>
      <c r="AC238" s="109"/>
      <c r="AD238" s="107"/>
      <c r="AE238" s="110"/>
    </row>
    <row r="239" spans="1:31" x14ac:dyDescent="0.35">
      <c r="B239" s="93"/>
      <c r="C239" s="102" t="s">
        <v>492</v>
      </c>
      <c r="D239" s="98">
        <f>D238-D237</f>
        <v>41.593999999999994</v>
      </c>
      <c r="E239" s="99"/>
      <c r="F239" s="100">
        <f>F238-F237</f>
        <v>126.94740000000003</v>
      </c>
      <c r="G239" s="97"/>
      <c r="H239" s="111"/>
      <c r="I239" s="111"/>
      <c r="J239" s="111"/>
      <c r="K239" s="111"/>
      <c r="L239" s="111"/>
      <c r="M239" s="111"/>
      <c r="N239" s="111"/>
      <c r="O239" s="111"/>
      <c r="P239" s="93"/>
      <c r="Q239" s="111"/>
      <c r="R239" s="111"/>
      <c r="S239" s="111"/>
      <c r="T239" s="111"/>
      <c r="U239" s="111"/>
      <c r="V239" s="111"/>
      <c r="W239" s="111"/>
      <c r="X239" s="111"/>
      <c r="Y239" s="93"/>
      <c r="Z239" s="111"/>
      <c r="AA239" s="111"/>
      <c r="AB239" s="111"/>
      <c r="AC239" s="111"/>
      <c r="AD239" s="93"/>
      <c r="AE239" s="112"/>
    </row>
    <row r="240" spans="1:31" x14ac:dyDescent="0.35">
      <c r="A240" s="22">
        <f>A234+1</f>
        <v>36</v>
      </c>
      <c r="B240" s="93" t="s">
        <v>547</v>
      </c>
      <c r="C240" s="94" t="s">
        <v>362</v>
      </c>
      <c r="D240" s="95">
        <v>17.504000000000001</v>
      </c>
      <c r="E240" s="96">
        <v>2.65</v>
      </c>
      <c r="F240" s="97">
        <f>D240*E240</f>
        <v>46.385600000000004</v>
      </c>
      <c r="G240" s="97"/>
      <c r="H240" s="98">
        <f>D240</f>
        <v>17.504000000000001</v>
      </c>
      <c r="I240" s="99">
        <f>D241</f>
        <v>15.686</v>
      </c>
      <c r="J240" s="99">
        <f>D242</f>
        <v>11.752000000000001</v>
      </c>
      <c r="K240" s="99"/>
      <c r="L240" s="99"/>
      <c r="M240" s="99"/>
      <c r="N240" s="100"/>
      <c r="O240" s="100">
        <f>D243</f>
        <v>9.4749999999999996</v>
      </c>
      <c r="P240" s="99"/>
      <c r="Q240" s="99">
        <f>E240</f>
        <v>2.65</v>
      </c>
      <c r="R240" s="99">
        <f>E241</f>
        <v>3.1</v>
      </c>
      <c r="S240" s="99">
        <f>E242</f>
        <v>3.95</v>
      </c>
      <c r="T240" s="99"/>
      <c r="U240" s="99"/>
      <c r="V240" s="99"/>
      <c r="W240" s="100"/>
      <c r="X240" s="100">
        <f>E243</f>
        <v>4.7</v>
      </c>
      <c r="Y240" s="99">
        <f>H240*Q240</f>
        <v>46.385600000000004</v>
      </c>
      <c r="Z240" s="99">
        <f>I240*R240</f>
        <v>48.626600000000003</v>
      </c>
      <c r="AA240" s="99">
        <f>J240*S240</f>
        <v>46.420400000000008</v>
      </c>
      <c r="AB240" s="99"/>
      <c r="AC240" s="100">
        <f>O240*X240</f>
        <v>44.532499999999999</v>
      </c>
      <c r="AD240" s="99">
        <f>Y240+Z240+AA240+AC240</f>
        <v>185.96510000000001</v>
      </c>
      <c r="AE240" s="99">
        <f>AD240-AC240</f>
        <v>141.43260000000001</v>
      </c>
    </row>
    <row r="241" spans="1:31" x14ac:dyDescent="0.35">
      <c r="B241" s="101"/>
      <c r="C241" s="102" t="s">
        <v>16</v>
      </c>
      <c r="D241" s="98">
        <v>15.686</v>
      </c>
      <c r="E241" s="99">
        <v>3.1</v>
      </c>
      <c r="F241" s="100">
        <f>D241*E241</f>
        <v>48.626600000000003</v>
      </c>
      <c r="G241" s="103"/>
      <c r="H241" s="104"/>
      <c r="I241" s="104"/>
      <c r="J241" s="104"/>
      <c r="K241" s="104"/>
      <c r="L241" s="104"/>
      <c r="M241" s="104"/>
      <c r="N241" s="104"/>
      <c r="O241" s="104"/>
      <c r="P241" s="101"/>
      <c r="Q241" s="104"/>
      <c r="R241" s="104"/>
      <c r="S241" s="104"/>
      <c r="T241" s="104"/>
      <c r="U241" s="104"/>
      <c r="V241" s="104"/>
      <c r="W241" s="104"/>
      <c r="X241" s="104"/>
      <c r="Y241" s="101"/>
      <c r="Z241" s="104"/>
      <c r="AA241" s="104"/>
      <c r="AB241" s="104"/>
      <c r="AC241" s="104"/>
      <c r="AD241" s="101"/>
      <c r="AE241" s="105"/>
    </row>
    <row r="242" spans="1:31" x14ac:dyDescent="0.35">
      <c r="B242" s="106"/>
      <c r="C242" s="102" t="s">
        <v>12</v>
      </c>
      <c r="D242" s="98">
        <v>11.752000000000001</v>
      </c>
      <c r="E242" s="99">
        <v>3.95</v>
      </c>
      <c r="F242" s="100">
        <f>D242*E242</f>
        <v>46.420400000000008</v>
      </c>
    </row>
    <row r="243" spans="1:31" x14ac:dyDescent="0.35">
      <c r="B243" s="106"/>
      <c r="C243" s="102" t="s">
        <v>13</v>
      </c>
      <c r="D243" s="98">
        <v>9.4749999999999996</v>
      </c>
      <c r="E243" s="99">
        <v>4.7</v>
      </c>
      <c r="F243" s="100">
        <f>D243*E243</f>
        <v>44.532499999999999</v>
      </c>
    </row>
    <row r="244" spans="1:31" x14ac:dyDescent="0.35">
      <c r="B244" s="106"/>
      <c r="C244" s="94" t="s">
        <v>491</v>
      </c>
      <c r="D244" s="95">
        <f>SUM(D240:D243)</f>
        <v>54.417000000000002</v>
      </c>
      <c r="E244" s="96"/>
      <c r="F244" s="97">
        <f>SUM(F240:F243)</f>
        <v>185.96510000000001</v>
      </c>
      <c r="I244" s="109"/>
      <c r="J244" s="109"/>
      <c r="K244" s="109"/>
      <c r="L244" s="109"/>
      <c r="M244" s="109"/>
      <c r="N244" s="109"/>
      <c r="O244" s="109"/>
      <c r="P244" s="107"/>
      <c r="Q244" s="109"/>
      <c r="R244" s="109"/>
      <c r="S244" s="109"/>
      <c r="T244" s="109"/>
      <c r="U244" s="109"/>
      <c r="V244" s="109"/>
      <c r="W244" s="109"/>
      <c r="X244" s="109"/>
      <c r="Y244" s="107"/>
      <c r="Z244" s="109"/>
      <c r="AA244" s="109"/>
      <c r="AB244" s="109"/>
      <c r="AC244" s="109"/>
      <c r="AD244" s="107"/>
      <c r="AE244" s="110"/>
    </row>
    <row r="245" spans="1:31" x14ac:dyDescent="0.35">
      <c r="B245" s="93"/>
      <c r="C245" s="102" t="s">
        <v>492</v>
      </c>
      <c r="D245" s="98">
        <f>D244-D243</f>
        <v>44.942</v>
      </c>
      <c r="E245" s="99"/>
      <c r="F245" s="100">
        <f>F244-F243</f>
        <v>141.43260000000001</v>
      </c>
      <c r="G245" s="97"/>
      <c r="H245" s="111"/>
      <c r="I245" s="111"/>
      <c r="J245" s="111"/>
      <c r="K245" s="111"/>
      <c r="L245" s="111"/>
      <c r="M245" s="111"/>
      <c r="N245" s="111"/>
      <c r="O245" s="111"/>
      <c r="P245" s="93"/>
      <c r="Q245" s="111"/>
      <c r="R245" s="111"/>
      <c r="S245" s="111"/>
      <c r="T245" s="111"/>
      <c r="U245" s="111"/>
      <c r="V245" s="111"/>
      <c r="W245" s="111"/>
      <c r="X245" s="111"/>
      <c r="Y245" s="93"/>
      <c r="Z245" s="111"/>
      <c r="AA245" s="111"/>
      <c r="AB245" s="111"/>
      <c r="AC245" s="111"/>
      <c r="AD245" s="93"/>
      <c r="AE245" s="112"/>
    </row>
    <row r="246" spans="1:31" x14ac:dyDescent="0.35">
      <c r="A246" s="22">
        <f>A240+1</f>
        <v>37</v>
      </c>
      <c r="B246" s="93" t="s">
        <v>548</v>
      </c>
      <c r="C246" s="94" t="s">
        <v>362</v>
      </c>
      <c r="D246" s="95">
        <v>21.084</v>
      </c>
      <c r="E246" s="96">
        <v>2.65</v>
      </c>
      <c r="F246" s="97">
        <f>D246*E246</f>
        <v>55.872599999999998</v>
      </c>
      <c r="G246" s="97"/>
      <c r="H246" s="98">
        <f>D246</f>
        <v>21.084</v>
      </c>
      <c r="I246" s="99">
        <f>D247</f>
        <v>19.986000000000001</v>
      </c>
      <c r="J246" s="99">
        <f>D248</f>
        <v>13.146000000000001</v>
      </c>
      <c r="K246" s="99"/>
      <c r="L246" s="99"/>
      <c r="M246" s="99"/>
      <c r="N246" s="100"/>
      <c r="O246" s="100">
        <f>D249</f>
        <v>9.4749999999999996</v>
      </c>
      <c r="P246" s="99"/>
      <c r="Q246" s="99">
        <f>E246</f>
        <v>2.65</v>
      </c>
      <c r="R246" s="99">
        <f>E247</f>
        <v>3.1</v>
      </c>
      <c r="S246" s="99">
        <f>E248</f>
        <v>3.9</v>
      </c>
      <c r="T246" s="99"/>
      <c r="U246" s="99"/>
      <c r="V246" s="99"/>
      <c r="W246" s="100"/>
      <c r="X246" s="100">
        <f>E249</f>
        <v>4.7</v>
      </c>
      <c r="Y246" s="99">
        <f>H246*Q246</f>
        <v>55.872599999999998</v>
      </c>
      <c r="Z246" s="99">
        <f>I246*R246</f>
        <v>61.956600000000002</v>
      </c>
      <c r="AA246" s="99">
        <f>J246*S246</f>
        <v>51.269400000000005</v>
      </c>
      <c r="AB246" s="99"/>
      <c r="AC246" s="100">
        <f>O246*X246</f>
        <v>44.532499999999999</v>
      </c>
      <c r="AD246" s="99">
        <f>Y246+Z246+AA246+AC246</f>
        <v>213.6311</v>
      </c>
      <c r="AE246" s="99">
        <f>AD246-AC246</f>
        <v>169.0986</v>
      </c>
    </row>
    <row r="247" spans="1:31" x14ac:dyDescent="0.35">
      <c r="B247" s="101"/>
      <c r="C247" s="102" t="s">
        <v>16</v>
      </c>
      <c r="D247" s="98">
        <v>19.986000000000001</v>
      </c>
      <c r="E247" s="99">
        <v>3.1</v>
      </c>
      <c r="F247" s="100">
        <f>D247*E247</f>
        <v>61.956600000000002</v>
      </c>
      <c r="G247" s="103"/>
      <c r="H247" s="104"/>
      <c r="I247" s="104"/>
      <c r="J247" s="104"/>
      <c r="K247" s="104"/>
      <c r="L247" s="104"/>
      <c r="M247" s="104"/>
      <c r="N247" s="104"/>
      <c r="O247" s="104"/>
      <c r="P247" s="101"/>
      <c r="Q247" s="104"/>
      <c r="R247" s="104"/>
      <c r="S247" s="104"/>
      <c r="T247" s="104"/>
      <c r="U247" s="104"/>
      <c r="V247" s="104"/>
      <c r="W247" s="104"/>
      <c r="X247" s="104"/>
      <c r="Y247" s="101"/>
      <c r="Z247" s="104"/>
      <c r="AA247" s="104"/>
      <c r="AB247" s="104"/>
      <c r="AC247" s="104"/>
      <c r="AD247" s="101"/>
      <c r="AE247" s="105"/>
    </row>
    <row r="248" spans="1:31" x14ac:dyDescent="0.35">
      <c r="B248" s="106"/>
      <c r="C248" s="102" t="s">
        <v>12</v>
      </c>
      <c r="D248" s="98">
        <v>13.146000000000001</v>
      </c>
      <c r="E248" s="99">
        <v>3.9</v>
      </c>
      <c r="F248" s="100">
        <f>D248*E248</f>
        <v>51.269400000000005</v>
      </c>
    </row>
    <row r="249" spans="1:31" x14ac:dyDescent="0.35">
      <c r="B249" s="106"/>
      <c r="C249" s="102" t="s">
        <v>13</v>
      </c>
      <c r="D249" s="98">
        <v>9.4749999999999996</v>
      </c>
      <c r="E249" s="99">
        <v>4.7</v>
      </c>
      <c r="F249" s="100">
        <f>D249*E249</f>
        <v>44.532499999999999</v>
      </c>
    </row>
    <row r="250" spans="1:31" x14ac:dyDescent="0.35">
      <c r="B250" s="106"/>
      <c r="C250" s="94" t="s">
        <v>491</v>
      </c>
      <c r="D250" s="95">
        <f>SUM(D246:D249)</f>
        <v>63.691000000000003</v>
      </c>
      <c r="E250" s="96"/>
      <c r="F250" s="97">
        <f>SUM(F246:F249)</f>
        <v>213.6311</v>
      </c>
      <c r="I250" s="109"/>
      <c r="J250" s="109"/>
      <c r="K250" s="109"/>
      <c r="L250" s="109"/>
      <c r="M250" s="109"/>
      <c r="N250" s="109"/>
      <c r="O250" s="109"/>
      <c r="P250" s="107"/>
      <c r="Q250" s="109"/>
      <c r="R250" s="109"/>
      <c r="S250" s="109"/>
      <c r="T250" s="109"/>
      <c r="U250" s="109"/>
      <c r="V250" s="109"/>
      <c r="W250" s="109"/>
      <c r="X250" s="109"/>
      <c r="Y250" s="107"/>
      <c r="Z250" s="109"/>
      <c r="AA250" s="109"/>
      <c r="AB250" s="109"/>
      <c r="AC250" s="109"/>
      <c r="AD250" s="107"/>
      <c r="AE250" s="110"/>
    </row>
    <row r="251" spans="1:31" x14ac:dyDescent="0.35">
      <c r="B251" s="93"/>
      <c r="C251" s="102" t="s">
        <v>492</v>
      </c>
      <c r="D251" s="98">
        <f>D250-D249</f>
        <v>54.216000000000001</v>
      </c>
      <c r="E251" s="99"/>
      <c r="F251" s="100">
        <f>F250-F249</f>
        <v>169.0986</v>
      </c>
      <c r="G251" s="97"/>
      <c r="H251" s="111"/>
      <c r="I251" s="111"/>
      <c r="J251" s="111"/>
      <c r="K251" s="111"/>
      <c r="L251" s="111"/>
      <c r="M251" s="111"/>
      <c r="N251" s="111"/>
      <c r="O251" s="111"/>
      <c r="P251" s="93"/>
      <c r="Q251" s="111"/>
      <c r="R251" s="111"/>
      <c r="S251" s="111"/>
      <c r="T251" s="111"/>
      <c r="U251" s="111"/>
      <c r="V251" s="111"/>
      <c r="W251" s="111"/>
      <c r="X251" s="111"/>
      <c r="Y251" s="93"/>
      <c r="Z251" s="111"/>
      <c r="AA251" s="111"/>
      <c r="AB251" s="111"/>
      <c r="AC251" s="111"/>
      <c r="AD251" s="93"/>
      <c r="AE251" s="112"/>
    </row>
    <row r="252" spans="1:31" x14ac:dyDescent="0.35">
      <c r="A252" s="22">
        <f>A246+1</f>
        <v>38</v>
      </c>
      <c r="B252" s="93" t="s">
        <v>549</v>
      </c>
      <c r="C252" s="94" t="s">
        <v>362</v>
      </c>
      <c r="D252" s="95">
        <v>21.084</v>
      </c>
      <c r="E252" s="96">
        <v>2.65</v>
      </c>
      <c r="F252" s="97">
        <f>D252*E252</f>
        <v>55.872599999999998</v>
      </c>
      <c r="G252" s="97"/>
      <c r="H252" s="98">
        <f>D252</f>
        <v>21.084</v>
      </c>
      <c r="I252" s="99">
        <f>D253</f>
        <v>19.986000000000001</v>
      </c>
      <c r="J252" s="99">
        <f>D254</f>
        <v>11.865</v>
      </c>
      <c r="K252" s="99"/>
      <c r="L252" s="99"/>
      <c r="M252" s="99"/>
      <c r="N252" s="100"/>
      <c r="O252" s="100">
        <f>D255</f>
        <v>16.045000000000002</v>
      </c>
      <c r="P252" s="99"/>
      <c r="Q252" s="99">
        <f>E252</f>
        <v>2.65</v>
      </c>
      <c r="R252" s="99">
        <f>E253</f>
        <v>3.1</v>
      </c>
      <c r="S252" s="99">
        <f>E254</f>
        <v>3.85</v>
      </c>
      <c r="T252" s="99"/>
      <c r="U252" s="99"/>
      <c r="V252" s="99"/>
      <c r="W252" s="100"/>
      <c r="X252" s="100">
        <f>E255</f>
        <v>4.7</v>
      </c>
      <c r="Y252" s="99">
        <f>H252*Q252</f>
        <v>55.872599999999998</v>
      </c>
      <c r="Z252" s="99">
        <f>I252*R252</f>
        <v>61.956600000000002</v>
      </c>
      <c r="AA252" s="99">
        <f>J252*S252</f>
        <v>45.680250000000001</v>
      </c>
      <c r="AB252" s="99"/>
      <c r="AC252" s="100">
        <f>O252*X252</f>
        <v>75.411500000000018</v>
      </c>
      <c r="AD252" s="99">
        <f>Y252+Z252+AA252+AC252</f>
        <v>238.92095000000003</v>
      </c>
      <c r="AE252" s="99">
        <f>AD252-AC252</f>
        <v>163.50945000000002</v>
      </c>
    </row>
    <row r="253" spans="1:31" x14ac:dyDescent="0.35">
      <c r="B253" s="101"/>
      <c r="C253" s="102" t="s">
        <v>16</v>
      </c>
      <c r="D253" s="98">
        <v>19.986000000000001</v>
      </c>
      <c r="E253" s="99">
        <v>3.1</v>
      </c>
      <c r="F253" s="100">
        <f>D253*E253</f>
        <v>61.956600000000002</v>
      </c>
      <c r="G253" s="103"/>
      <c r="H253" s="104"/>
      <c r="I253" s="104"/>
      <c r="J253" s="104"/>
      <c r="K253" s="104"/>
      <c r="L253" s="104"/>
      <c r="M253" s="104"/>
      <c r="N253" s="104"/>
      <c r="O253" s="104"/>
      <c r="P253" s="101"/>
      <c r="Q253" s="104"/>
      <c r="R253" s="104"/>
      <c r="S253" s="104"/>
      <c r="T253" s="104"/>
      <c r="U253" s="104"/>
      <c r="V253" s="104"/>
      <c r="W253" s="104"/>
      <c r="X253" s="104"/>
      <c r="Y253" s="101"/>
      <c r="Z253" s="104"/>
      <c r="AA253" s="104"/>
      <c r="AB253" s="104"/>
      <c r="AC253" s="104"/>
      <c r="AD253" s="101"/>
      <c r="AE253" s="105"/>
    </row>
    <row r="254" spans="1:31" x14ac:dyDescent="0.35">
      <c r="B254" s="106"/>
      <c r="C254" s="102" t="s">
        <v>12</v>
      </c>
      <c r="D254" s="98">
        <v>11.865</v>
      </c>
      <c r="E254" s="99">
        <v>3.85</v>
      </c>
      <c r="F254" s="100">
        <f>D254*E254</f>
        <v>45.680250000000001</v>
      </c>
    </row>
    <row r="255" spans="1:31" x14ac:dyDescent="0.35">
      <c r="B255" s="106"/>
      <c r="C255" s="102" t="s">
        <v>13</v>
      </c>
      <c r="D255" s="98">
        <v>16.045000000000002</v>
      </c>
      <c r="E255" s="99">
        <v>4.7</v>
      </c>
      <c r="F255" s="100">
        <f>D255*E255</f>
        <v>75.411500000000018</v>
      </c>
    </row>
    <row r="256" spans="1:31" x14ac:dyDescent="0.35">
      <c r="B256" s="106"/>
      <c r="C256" s="94" t="s">
        <v>491</v>
      </c>
      <c r="D256" s="95">
        <f>SUM(D252:D255)</f>
        <v>68.98</v>
      </c>
      <c r="E256" s="96"/>
      <c r="F256" s="97">
        <f>SUM(F252:F255)</f>
        <v>238.92095000000003</v>
      </c>
      <c r="I256" s="109"/>
      <c r="J256" s="109"/>
      <c r="K256" s="109"/>
      <c r="L256" s="109"/>
      <c r="M256" s="109"/>
      <c r="N256" s="109"/>
      <c r="O256" s="109"/>
      <c r="P256" s="107"/>
      <c r="Q256" s="109"/>
      <c r="R256" s="109"/>
      <c r="S256" s="109"/>
      <c r="T256" s="109"/>
      <c r="U256" s="109"/>
      <c r="V256" s="109"/>
      <c r="W256" s="109"/>
      <c r="X256" s="109"/>
      <c r="Y256" s="107"/>
      <c r="Z256" s="109"/>
      <c r="AA256" s="109"/>
      <c r="AB256" s="109"/>
      <c r="AC256" s="109"/>
      <c r="AD256" s="107"/>
      <c r="AE256" s="110"/>
    </row>
    <row r="257" spans="1:31" x14ac:dyDescent="0.35">
      <c r="B257" s="93"/>
      <c r="C257" s="102" t="s">
        <v>492</v>
      </c>
      <c r="D257" s="98">
        <f>D256-D255</f>
        <v>52.935000000000002</v>
      </c>
      <c r="E257" s="99"/>
      <c r="F257" s="100">
        <f>F256-F255</f>
        <v>163.50945000000002</v>
      </c>
      <c r="G257" s="97"/>
      <c r="H257" s="111"/>
      <c r="I257" s="111"/>
      <c r="J257" s="111"/>
      <c r="K257" s="111"/>
      <c r="L257" s="111"/>
      <c r="M257" s="111"/>
      <c r="N257" s="111"/>
      <c r="O257" s="111"/>
      <c r="P257" s="93"/>
      <c r="Q257" s="111"/>
      <c r="R257" s="111"/>
      <c r="S257" s="111"/>
      <c r="T257" s="111"/>
      <c r="U257" s="111"/>
      <c r="V257" s="111"/>
      <c r="W257" s="111"/>
      <c r="X257" s="111"/>
      <c r="Y257" s="93"/>
      <c r="Z257" s="111"/>
      <c r="AA257" s="111"/>
      <c r="AB257" s="111"/>
      <c r="AC257" s="111"/>
      <c r="AD257" s="93"/>
      <c r="AE257" s="112"/>
    </row>
    <row r="258" spans="1:31" x14ac:dyDescent="0.35">
      <c r="A258" s="22">
        <f>A252+1</f>
        <v>39</v>
      </c>
      <c r="B258" s="93" t="s">
        <v>550</v>
      </c>
      <c r="C258" s="94" t="s">
        <v>362</v>
      </c>
      <c r="D258" s="95">
        <v>21.084</v>
      </c>
      <c r="E258" s="96">
        <v>2.65</v>
      </c>
      <c r="F258" s="97">
        <f>D258*E258</f>
        <v>55.872599999999998</v>
      </c>
      <c r="G258" s="97"/>
      <c r="H258" s="98">
        <f>D258</f>
        <v>21.084</v>
      </c>
      <c r="I258" s="99">
        <f>D259</f>
        <v>19.986000000000001</v>
      </c>
      <c r="J258" s="99">
        <f>D260</f>
        <v>13.146000000000001</v>
      </c>
      <c r="K258" s="99"/>
      <c r="L258" s="99"/>
      <c r="M258" s="99"/>
      <c r="N258" s="100"/>
      <c r="O258" s="100">
        <f>D261</f>
        <v>10.575000000000001</v>
      </c>
      <c r="P258" s="99"/>
      <c r="Q258" s="99">
        <f>E258</f>
        <v>2.65</v>
      </c>
      <c r="R258" s="99">
        <f>E259</f>
        <v>3.1</v>
      </c>
      <c r="S258" s="99">
        <f>E260</f>
        <v>3.9</v>
      </c>
      <c r="T258" s="99"/>
      <c r="U258" s="99"/>
      <c r="V258" s="99"/>
      <c r="W258" s="100"/>
      <c r="X258" s="100">
        <f>E261</f>
        <v>4.7</v>
      </c>
      <c r="Y258" s="99">
        <f>H258*Q258</f>
        <v>55.872599999999998</v>
      </c>
      <c r="Z258" s="99">
        <f>I258*R258</f>
        <v>61.956600000000002</v>
      </c>
      <c r="AA258" s="99">
        <f>J258*S258</f>
        <v>51.269400000000005</v>
      </c>
      <c r="AB258" s="99"/>
      <c r="AC258" s="100">
        <f>O258*X258</f>
        <v>49.702500000000008</v>
      </c>
      <c r="AD258" s="99">
        <f>Y258+Z258+AA258+AC258</f>
        <v>218.80110000000002</v>
      </c>
      <c r="AE258" s="99">
        <f>AD258-AC258</f>
        <v>169.0986</v>
      </c>
    </row>
    <row r="259" spans="1:31" x14ac:dyDescent="0.35">
      <c r="B259" s="101"/>
      <c r="C259" s="102" t="s">
        <v>16</v>
      </c>
      <c r="D259" s="98">
        <v>19.986000000000001</v>
      </c>
      <c r="E259" s="99">
        <v>3.1</v>
      </c>
      <c r="F259" s="100">
        <f>D259*E259</f>
        <v>61.956600000000002</v>
      </c>
      <c r="G259" s="103"/>
      <c r="H259" s="104"/>
      <c r="I259" s="104"/>
      <c r="J259" s="104"/>
      <c r="K259" s="104"/>
      <c r="L259" s="104"/>
      <c r="M259" s="104"/>
      <c r="N259" s="104"/>
      <c r="O259" s="104"/>
      <c r="P259" s="101"/>
      <c r="Q259" s="104"/>
      <c r="R259" s="104"/>
      <c r="S259" s="104"/>
      <c r="T259" s="104"/>
      <c r="U259" s="104"/>
      <c r="V259" s="104"/>
      <c r="W259" s="104"/>
      <c r="X259" s="104"/>
      <c r="Y259" s="101"/>
      <c r="Z259" s="104"/>
      <c r="AA259" s="104"/>
      <c r="AB259" s="104"/>
      <c r="AC259" s="104"/>
      <c r="AD259" s="101"/>
      <c r="AE259" s="105"/>
    </row>
    <row r="260" spans="1:31" x14ac:dyDescent="0.35">
      <c r="B260" s="106"/>
      <c r="C260" s="102" t="s">
        <v>12</v>
      </c>
      <c r="D260" s="98">
        <v>13.146000000000001</v>
      </c>
      <c r="E260" s="99">
        <v>3.9</v>
      </c>
      <c r="F260" s="100">
        <f>D260*E260</f>
        <v>51.269400000000005</v>
      </c>
    </row>
    <row r="261" spans="1:31" x14ac:dyDescent="0.35">
      <c r="B261" s="106"/>
      <c r="C261" s="102" t="s">
        <v>13</v>
      </c>
      <c r="D261" s="98">
        <v>10.575000000000001</v>
      </c>
      <c r="E261" s="99">
        <v>4.7</v>
      </c>
      <c r="F261" s="100">
        <f>D261*E261</f>
        <v>49.702500000000008</v>
      </c>
    </row>
    <row r="262" spans="1:31" x14ac:dyDescent="0.35">
      <c r="B262" s="106"/>
      <c r="C262" s="94" t="s">
        <v>491</v>
      </c>
      <c r="D262" s="95">
        <f>SUM(D258:D261)</f>
        <v>64.790999999999997</v>
      </c>
      <c r="E262" s="96"/>
      <c r="F262" s="97">
        <f>SUM(F258:F261)</f>
        <v>218.80110000000002</v>
      </c>
      <c r="I262" s="109"/>
      <c r="J262" s="109"/>
      <c r="K262" s="109"/>
      <c r="L262" s="109"/>
      <c r="M262" s="109"/>
      <c r="N262" s="109"/>
      <c r="O262" s="109"/>
      <c r="P262" s="107"/>
      <c r="Q262" s="109"/>
      <c r="R262" s="109"/>
      <c r="S262" s="109"/>
      <c r="T262" s="109"/>
      <c r="U262" s="109"/>
      <c r="V262" s="109"/>
      <c r="W262" s="109"/>
      <c r="X262" s="109"/>
      <c r="Y262" s="107"/>
      <c r="Z262" s="109"/>
      <c r="AA262" s="109"/>
      <c r="AB262" s="109"/>
      <c r="AC262" s="109"/>
      <c r="AD262" s="107"/>
      <c r="AE262" s="110"/>
    </row>
    <row r="263" spans="1:31" x14ac:dyDescent="0.35">
      <c r="B263" s="93"/>
      <c r="C263" s="102" t="s">
        <v>492</v>
      </c>
      <c r="D263" s="98">
        <f>D262-D261</f>
        <v>54.215999999999994</v>
      </c>
      <c r="E263" s="99"/>
      <c r="F263" s="100">
        <f>F262-F261</f>
        <v>169.0986</v>
      </c>
      <c r="G263" s="97"/>
      <c r="H263" s="111"/>
      <c r="I263" s="111"/>
      <c r="J263" s="111"/>
      <c r="K263" s="111"/>
      <c r="L263" s="111"/>
      <c r="M263" s="111"/>
      <c r="N263" s="111"/>
      <c r="O263" s="111"/>
      <c r="P263" s="93"/>
      <c r="Q263" s="111"/>
      <c r="R263" s="111"/>
      <c r="S263" s="111"/>
      <c r="T263" s="111"/>
      <c r="U263" s="111"/>
      <c r="V263" s="111"/>
      <c r="W263" s="111"/>
      <c r="X263" s="111"/>
      <c r="Y263" s="93"/>
      <c r="Z263" s="111"/>
      <c r="AA263" s="111"/>
      <c r="AB263" s="111"/>
      <c r="AC263" s="111"/>
      <c r="AD263" s="93"/>
      <c r="AE263" s="112"/>
    </row>
    <row r="264" spans="1:31" x14ac:dyDescent="0.35">
      <c r="A264" s="22">
        <f>A258+1</f>
        <v>40</v>
      </c>
      <c r="B264" s="93" t="s">
        <v>551</v>
      </c>
      <c r="C264" s="94" t="s">
        <v>362</v>
      </c>
      <c r="D264" s="95">
        <v>24.103999999999999</v>
      </c>
      <c r="E264" s="96">
        <v>2.6</v>
      </c>
      <c r="F264" s="97">
        <f>D264*E264</f>
        <v>62.670400000000001</v>
      </c>
      <c r="G264" s="97"/>
      <c r="H264" s="98">
        <f>D264</f>
        <v>24.103999999999999</v>
      </c>
      <c r="I264" s="99">
        <f>D265</f>
        <v>23.93</v>
      </c>
      <c r="J264" s="99">
        <f>D266</f>
        <v>16.783999999999999</v>
      </c>
      <c r="K264" s="99"/>
      <c r="L264" s="99"/>
      <c r="M264" s="99"/>
      <c r="N264" s="100"/>
      <c r="O264" s="100">
        <f>D267</f>
        <v>16.045000000000002</v>
      </c>
      <c r="P264" s="99"/>
      <c r="Q264" s="99">
        <f>E264</f>
        <v>2.6</v>
      </c>
      <c r="R264" s="99">
        <f>E265</f>
        <v>3</v>
      </c>
      <c r="S264" s="99">
        <f>E266</f>
        <v>3.75</v>
      </c>
      <c r="T264" s="99"/>
      <c r="U264" s="99"/>
      <c r="V264" s="99"/>
      <c r="W264" s="100"/>
      <c r="X264" s="100">
        <f>E267</f>
        <v>4.7</v>
      </c>
      <c r="Y264" s="99">
        <f>H264*Q264</f>
        <v>62.670400000000001</v>
      </c>
      <c r="Z264" s="99">
        <f>I264*R264</f>
        <v>71.789999999999992</v>
      </c>
      <c r="AA264" s="99">
        <f>J264*S264</f>
        <v>62.94</v>
      </c>
      <c r="AB264" s="99"/>
      <c r="AC264" s="100">
        <f>O264*X264</f>
        <v>75.411500000000018</v>
      </c>
      <c r="AD264" s="99">
        <f>Y264+Z264+AA264+AC264</f>
        <v>272.81190000000004</v>
      </c>
      <c r="AE264" s="99">
        <f>AD264-AC264</f>
        <v>197.40040000000002</v>
      </c>
    </row>
    <row r="265" spans="1:31" x14ac:dyDescent="0.35">
      <c r="B265" s="101"/>
      <c r="C265" s="102" t="s">
        <v>16</v>
      </c>
      <c r="D265" s="98">
        <v>23.93</v>
      </c>
      <c r="E265" s="99">
        <v>3</v>
      </c>
      <c r="F265" s="100">
        <f>D265*E265</f>
        <v>71.789999999999992</v>
      </c>
      <c r="G265" s="103"/>
      <c r="H265" s="104"/>
      <c r="I265" s="104"/>
      <c r="J265" s="104"/>
      <c r="K265" s="104"/>
      <c r="L265" s="104"/>
      <c r="M265" s="104"/>
      <c r="N265" s="104"/>
      <c r="O265" s="104"/>
      <c r="P265" s="101"/>
      <c r="Q265" s="104"/>
      <c r="R265" s="104"/>
      <c r="S265" s="104"/>
      <c r="T265" s="104"/>
      <c r="U265" s="104"/>
      <c r="V265" s="104"/>
      <c r="W265" s="104"/>
      <c r="X265" s="104"/>
      <c r="Y265" s="101"/>
      <c r="Z265" s="104"/>
      <c r="AA265" s="104"/>
      <c r="AB265" s="104"/>
      <c r="AC265" s="104"/>
      <c r="AD265" s="101"/>
      <c r="AE265" s="105"/>
    </row>
    <row r="266" spans="1:31" x14ac:dyDescent="0.35">
      <c r="B266" s="106"/>
      <c r="C266" s="102" t="s">
        <v>12</v>
      </c>
      <c r="D266" s="98">
        <v>16.783999999999999</v>
      </c>
      <c r="E266" s="99">
        <v>3.75</v>
      </c>
      <c r="F266" s="100">
        <f>D266*E266</f>
        <v>62.94</v>
      </c>
    </row>
    <row r="267" spans="1:31" x14ac:dyDescent="0.35">
      <c r="B267" s="106"/>
      <c r="C267" s="102" t="s">
        <v>13</v>
      </c>
      <c r="D267" s="98">
        <v>16.045000000000002</v>
      </c>
      <c r="E267" s="99">
        <v>4.7</v>
      </c>
      <c r="F267" s="100">
        <f>D267*E267</f>
        <v>75.411500000000018</v>
      </c>
    </row>
    <row r="268" spans="1:31" x14ac:dyDescent="0.35">
      <c r="B268" s="106"/>
      <c r="C268" s="94" t="s">
        <v>491</v>
      </c>
      <c r="D268" s="95">
        <f>SUM(D264:D267)</f>
        <v>80.863</v>
      </c>
      <c r="E268" s="96"/>
      <c r="F268" s="97">
        <f>SUM(F264:F267)</f>
        <v>272.81190000000004</v>
      </c>
      <c r="I268" s="109"/>
      <c r="J268" s="109"/>
      <c r="K268" s="109"/>
      <c r="L268" s="109"/>
      <c r="M268" s="109"/>
      <c r="N268" s="109"/>
      <c r="O268" s="109"/>
      <c r="P268" s="107"/>
      <c r="Q268" s="109"/>
      <c r="R268" s="109"/>
      <c r="S268" s="109"/>
      <c r="T268" s="109"/>
      <c r="U268" s="109"/>
      <c r="V268" s="109"/>
      <c r="W268" s="109"/>
      <c r="X268" s="109"/>
      <c r="Y268" s="107"/>
      <c r="Z268" s="109"/>
      <c r="AA268" s="109"/>
      <c r="AB268" s="109"/>
      <c r="AC268" s="109"/>
      <c r="AD268" s="107"/>
      <c r="AE268" s="110"/>
    </row>
    <row r="269" spans="1:31" x14ac:dyDescent="0.35">
      <c r="B269" s="93"/>
      <c r="C269" s="102" t="s">
        <v>492</v>
      </c>
      <c r="D269" s="98">
        <f>D268-D267</f>
        <v>64.817999999999998</v>
      </c>
      <c r="E269" s="99"/>
      <c r="F269" s="100">
        <f>F268-F267</f>
        <v>197.40040000000002</v>
      </c>
      <c r="G269" s="97"/>
      <c r="H269" s="111"/>
      <c r="I269" s="111"/>
      <c r="J269" s="111"/>
      <c r="K269" s="111"/>
      <c r="L269" s="111"/>
      <c r="M269" s="111"/>
      <c r="N269" s="111"/>
      <c r="O269" s="111"/>
      <c r="P269" s="93"/>
      <c r="Q269" s="111"/>
      <c r="R269" s="111"/>
      <c r="S269" s="111"/>
      <c r="T269" s="111"/>
      <c r="U269" s="111"/>
      <c r="V269" s="111"/>
      <c r="W269" s="111"/>
      <c r="X269" s="111"/>
      <c r="Y269" s="93"/>
      <c r="Z269" s="111"/>
      <c r="AA269" s="111"/>
      <c r="AB269" s="111"/>
      <c r="AC269" s="111"/>
      <c r="AD269" s="93"/>
      <c r="AE269" s="112"/>
    </row>
    <row r="270" spans="1:31" x14ac:dyDescent="0.35">
      <c r="A270" s="22">
        <f>A264+1</f>
        <v>41</v>
      </c>
      <c r="B270" s="93" t="s">
        <v>552</v>
      </c>
      <c r="C270" s="94" t="s">
        <v>362</v>
      </c>
      <c r="D270" s="95">
        <v>24.103999999999999</v>
      </c>
      <c r="E270" s="96">
        <v>2.6</v>
      </c>
      <c r="F270" s="97">
        <f>D270*E270</f>
        <v>62.670400000000001</v>
      </c>
      <c r="G270" s="97"/>
      <c r="H270" s="98">
        <f>D270</f>
        <v>24.103999999999999</v>
      </c>
      <c r="I270" s="99">
        <f>D271</f>
        <v>23.93</v>
      </c>
      <c r="J270" s="99">
        <f>D272</f>
        <v>16.783999999999999</v>
      </c>
      <c r="K270" s="99"/>
      <c r="L270" s="99"/>
      <c r="M270" s="99"/>
      <c r="N270" s="100"/>
      <c r="O270" s="100">
        <f>D273</f>
        <v>17.22</v>
      </c>
      <c r="P270" s="99"/>
      <c r="Q270" s="99">
        <f>E270</f>
        <v>2.6</v>
      </c>
      <c r="R270" s="99">
        <f>E271</f>
        <v>3</v>
      </c>
      <c r="S270" s="99">
        <f>E272</f>
        <v>3.75</v>
      </c>
      <c r="T270" s="99"/>
      <c r="U270" s="99"/>
      <c r="V270" s="99"/>
      <c r="W270" s="100"/>
      <c r="X270" s="100">
        <f>E273</f>
        <v>4.7</v>
      </c>
      <c r="Y270" s="99">
        <f>H270*Q270</f>
        <v>62.670400000000001</v>
      </c>
      <c r="Z270" s="99">
        <f>I270*R270</f>
        <v>71.789999999999992</v>
      </c>
      <c r="AA270" s="99">
        <f>J270*S270</f>
        <v>62.94</v>
      </c>
      <c r="AB270" s="99"/>
      <c r="AC270" s="100">
        <f>O270*X270</f>
        <v>80.933999999999997</v>
      </c>
      <c r="AD270" s="99">
        <f>Y270+Z270+AA270+AC270</f>
        <v>278.33439999999996</v>
      </c>
      <c r="AE270" s="99">
        <f>AD270-AC270</f>
        <v>197.40039999999996</v>
      </c>
    </row>
    <row r="271" spans="1:31" x14ac:dyDescent="0.35">
      <c r="B271" s="101"/>
      <c r="C271" s="102" t="s">
        <v>16</v>
      </c>
      <c r="D271" s="98">
        <v>23.93</v>
      </c>
      <c r="E271" s="99">
        <v>3</v>
      </c>
      <c r="F271" s="100">
        <f>D271*E271</f>
        <v>71.789999999999992</v>
      </c>
      <c r="G271" s="103"/>
      <c r="H271" s="104"/>
      <c r="I271" s="104"/>
      <c r="J271" s="104"/>
      <c r="K271" s="104"/>
      <c r="L271" s="104"/>
      <c r="M271" s="104"/>
      <c r="N271" s="104"/>
      <c r="O271" s="104"/>
      <c r="P271" s="101"/>
      <c r="Q271" s="104"/>
      <c r="R271" s="104"/>
      <c r="S271" s="104"/>
      <c r="T271" s="104"/>
      <c r="U271" s="104"/>
      <c r="V271" s="104"/>
      <c r="W271" s="104"/>
      <c r="X271" s="104"/>
      <c r="Y271" s="101"/>
      <c r="Z271" s="104"/>
      <c r="AA271" s="104"/>
      <c r="AB271" s="104"/>
      <c r="AC271" s="104"/>
      <c r="AD271" s="101"/>
      <c r="AE271" s="105"/>
    </row>
    <row r="272" spans="1:31" x14ac:dyDescent="0.35">
      <c r="B272" s="106"/>
      <c r="C272" s="102" t="s">
        <v>12</v>
      </c>
      <c r="D272" s="98">
        <v>16.783999999999999</v>
      </c>
      <c r="E272" s="99">
        <v>3.75</v>
      </c>
      <c r="F272" s="100">
        <f>D272*E272</f>
        <v>62.94</v>
      </c>
    </row>
    <row r="273" spans="1:31" x14ac:dyDescent="0.35">
      <c r="B273" s="106"/>
      <c r="C273" s="102" t="s">
        <v>13</v>
      </c>
      <c r="D273" s="98">
        <v>17.22</v>
      </c>
      <c r="E273" s="99">
        <v>4.7</v>
      </c>
      <c r="F273" s="100">
        <f>D273*E273</f>
        <v>80.933999999999997</v>
      </c>
    </row>
    <row r="274" spans="1:31" x14ac:dyDescent="0.35">
      <c r="B274" s="106"/>
      <c r="C274" s="94" t="s">
        <v>491</v>
      </c>
      <c r="D274" s="95">
        <f>SUM(D270:D273)</f>
        <v>82.037999999999997</v>
      </c>
      <c r="E274" s="96"/>
      <c r="F274" s="97">
        <f>SUM(F270:F273)</f>
        <v>278.33439999999996</v>
      </c>
      <c r="I274" s="109"/>
      <c r="J274" s="109"/>
      <c r="K274" s="109"/>
      <c r="L274" s="109"/>
      <c r="M274" s="109"/>
      <c r="N274" s="109"/>
      <c r="O274" s="109"/>
      <c r="P274" s="107"/>
      <c r="Q274" s="109"/>
      <c r="R274" s="109"/>
      <c r="S274" s="109"/>
      <c r="T274" s="109"/>
      <c r="U274" s="109"/>
      <c r="V274" s="109"/>
      <c r="W274" s="109"/>
      <c r="X274" s="109"/>
      <c r="Y274" s="107"/>
      <c r="Z274" s="109"/>
      <c r="AA274" s="109"/>
      <c r="AB274" s="109"/>
      <c r="AC274" s="109"/>
      <c r="AD274" s="107"/>
      <c r="AE274" s="110"/>
    </row>
    <row r="275" spans="1:31" x14ac:dyDescent="0.35">
      <c r="B275" s="93"/>
      <c r="C275" s="102" t="s">
        <v>492</v>
      </c>
      <c r="D275" s="98">
        <f>D274-D273</f>
        <v>64.817999999999998</v>
      </c>
      <c r="E275" s="99"/>
      <c r="F275" s="100">
        <f>F274-F273</f>
        <v>197.40039999999996</v>
      </c>
      <c r="G275" s="97"/>
      <c r="H275" s="111"/>
      <c r="I275" s="111"/>
      <c r="J275" s="111"/>
      <c r="K275" s="111"/>
      <c r="L275" s="111"/>
      <c r="M275" s="111"/>
      <c r="N275" s="111"/>
      <c r="O275" s="111"/>
      <c r="P275" s="93"/>
      <c r="Q275" s="111"/>
      <c r="R275" s="111"/>
      <c r="S275" s="111"/>
      <c r="T275" s="111"/>
      <c r="U275" s="111"/>
      <c r="V275" s="111"/>
      <c r="W275" s="111"/>
      <c r="X275" s="111"/>
      <c r="Y275" s="93"/>
      <c r="Z275" s="111"/>
      <c r="AA275" s="111"/>
      <c r="AB275" s="111"/>
      <c r="AC275" s="111"/>
      <c r="AD275" s="93"/>
      <c r="AE275" s="112"/>
    </row>
    <row r="276" spans="1:31" x14ac:dyDescent="0.35">
      <c r="A276" s="22">
        <f>A270+1</f>
        <v>42</v>
      </c>
      <c r="B276" s="93" t="s">
        <v>553</v>
      </c>
      <c r="C276" s="94" t="s">
        <v>511</v>
      </c>
      <c r="D276" s="95">
        <v>2.3199999999999998</v>
      </c>
      <c r="E276" s="96">
        <v>5</v>
      </c>
      <c r="F276" s="97">
        <f>D276*E276</f>
        <v>11.6</v>
      </c>
      <c r="G276" s="97">
        <f>D276</f>
        <v>2.3199999999999998</v>
      </c>
      <c r="H276" s="98"/>
      <c r="I276" s="99"/>
      <c r="J276" s="99">
        <f>D277</f>
        <v>5.0309999999999997</v>
      </c>
      <c r="K276" s="99">
        <f>D278</f>
        <v>3.5059999999999998</v>
      </c>
      <c r="L276" s="99">
        <f>D279</f>
        <v>5.0309999999999997</v>
      </c>
      <c r="M276" s="99"/>
      <c r="N276" s="100"/>
      <c r="O276" s="100">
        <f>D280</f>
        <v>2.3199999999999998</v>
      </c>
      <c r="P276" s="99">
        <f>E276</f>
        <v>5</v>
      </c>
      <c r="Q276" s="99"/>
      <c r="R276" s="99"/>
      <c r="S276" s="99">
        <f>E277</f>
        <v>3.9</v>
      </c>
      <c r="T276" s="99">
        <f>E278</f>
        <v>3</v>
      </c>
      <c r="U276" s="99">
        <f>E279</f>
        <v>3.9</v>
      </c>
      <c r="V276" s="99"/>
      <c r="W276" s="100"/>
      <c r="X276" s="100">
        <f>E280</f>
        <v>5</v>
      </c>
      <c r="Y276" s="99"/>
      <c r="Z276" s="99"/>
      <c r="AA276" s="99">
        <f>J276*S276+L276*U276</f>
        <v>39.241799999999998</v>
      </c>
      <c r="AB276" s="99">
        <f>K276*T276</f>
        <v>10.517999999999999</v>
      </c>
      <c r="AC276" s="100">
        <f>O276*X276+G276*P276</f>
        <v>23.2</v>
      </c>
      <c r="AD276" s="99">
        <f>Y276+Z276+AA276+AB276+AC276</f>
        <v>72.959800000000001</v>
      </c>
      <c r="AE276" s="99">
        <f>AD276-AC276</f>
        <v>49.759799999999998</v>
      </c>
    </row>
    <row r="277" spans="1:31" x14ac:dyDescent="0.35">
      <c r="B277" s="101"/>
      <c r="C277" s="102" t="s">
        <v>512</v>
      </c>
      <c r="D277" s="98">
        <v>5.0309999999999997</v>
      </c>
      <c r="E277" s="99">
        <v>3.9</v>
      </c>
      <c r="F277" s="100">
        <f>D277*E277</f>
        <v>19.620899999999999</v>
      </c>
      <c r="G277" s="103"/>
      <c r="H277" s="104"/>
      <c r="I277" s="104"/>
      <c r="J277" s="104"/>
      <c r="K277" s="104"/>
      <c r="L277" s="104"/>
      <c r="M277" s="104"/>
      <c r="N277" s="104"/>
      <c r="O277" s="104"/>
      <c r="P277" s="101"/>
      <c r="Q277" s="104"/>
      <c r="R277" s="104"/>
      <c r="S277" s="104"/>
      <c r="T277" s="104"/>
      <c r="U277" s="104"/>
      <c r="V277" s="104"/>
      <c r="W277" s="104"/>
      <c r="X277" s="104"/>
      <c r="Y277" s="101"/>
      <c r="Z277" s="104"/>
      <c r="AA277" s="104"/>
      <c r="AB277" s="104"/>
      <c r="AC277" s="104"/>
      <c r="AD277" s="101"/>
      <c r="AE277" s="105"/>
    </row>
    <row r="278" spans="1:31" x14ac:dyDescent="0.35">
      <c r="B278" s="106"/>
      <c r="C278" s="102" t="s">
        <v>504</v>
      </c>
      <c r="D278" s="98">
        <v>3.5059999999999998</v>
      </c>
      <c r="E278" s="99">
        <v>3</v>
      </c>
      <c r="F278" s="100">
        <f>D278*E278</f>
        <v>10.517999999999999</v>
      </c>
    </row>
    <row r="279" spans="1:31" x14ac:dyDescent="0.35">
      <c r="B279" s="106"/>
      <c r="C279" s="102" t="s">
        <v>513</v>
      </c>
      <c r="D279" s="98">
        <v>5.0309999999999997</v>
      </c>
      <c r="E279" s="99">
        <v>3.9</v>
      </c>
      <c r="F279" s="100">
        <f>D279*E279</f>
        <v>19.620899999999999</v>
      </c>
    </row>
    <row r="280" spans="1:31" x14ac:dyDescent="0.35">
      <c r="B280" s="106"/>
      <c r="C280" s="102" t="s">
        <v>514</v>
      </c>
      <c r="D280" s="98">
        <v>2.3199999999999998</v>
      </c>
      <c r="E280" s="99">
        <v>5</v>
      </c>
      <c r="F280" s="100">
        <f>D280*E280</f>
        <v>11.6</v>
      </c>
    </row>
    <row r="281" spans="1:31" x14ac:dyDescent="0.35">
      <c r="B281" s="106"/>
      <c r="C281" s="94" t="s">
        <v>491</v>
      </c>
      <c r="D281" s="95">
        <f>SUM(D276:D280)</f>
        <v>18.207999999999998</v>
      </c>
      <c r="E281" s="96"/>
      <c r="F281" s="97">
        <f>SUM(F276:F280)</f>
        <v>72.959800000000001</v>
      </c>
      <c r="I281" s="109"/>
      <c r="J281" s="109"/>
      <c r="K281" s="109"/>
      <c r="L281" s="109"/>
      <c r="M281" s="109"/>
      <c r="N281" s="109"/>
      <c r="O281" s="109"/>
      <c r="P281" s="107"/>
      <c r="Q281" s="109"/>
      <c r="R281" s="109"/>
      <c r="S281" s="109"/>
      <c r="T281" s="109"/>
      <c r="U281" s="109"/>
      <c r="V281" s="109"/>
      <c r="W281" s="109"/>
      <c r="X281" s="109"/>
      <c r="Y281" s="107"/>
      <c r="Z281" s="109"/>
      <c r="AA281" s="109"/>
      <c r="AB281" s="109"/>
      <c r="AC281" s="109"/>
      <c r="AD281" s="107"/>
      <c r="AE281" s="110"/>
    </row>
    <row r="282" spans="1:31" x14ac:dyDescent="0.35">
      <c r="B282" s="93"/>
      <c r="C282" s="102" t="s">
        <v>492</v>
      </c>
      <c r="D282" s="98">
        <f>D281-D280</f>
        <v>15.887999999999998</v>
      </c>
      <c r="E282" s="99"/>
      <c r="F282" s="100">
        <f>F281-F280-F276</f>
        <v>49.759799999999998</v>
      </c>
      <c r="G282" s="97"/>
      <c r="H282" s="111"/>
      <c r="I282" s="111"/>
      <c r="J282" s="111"/>
      <c r="K282" s="111"/>
      <c r="L282" s="111"/>
      <c r="M282" s="111"/>
      <c r="N282" s="111"/>
      <c r="O282" s="111"/>
      <c r="P282" s="93"/>
      <c r="Q282" s="111"/>
      <c r="R282" s="111"/>
      <c r="S282" s="111"/>
      <c r="T282" s="111"/>
      <c r="U282" s="111"/>
      <c r="V282" s="111"/>
      <c r="W282" s="111"/>
      <c r="X282" s="111"/>
      <c r="Y282" s="93"/>
      <c r="Z282" s="111"/>
      <c r="AA282" s="111"/>
      <c r="AB282" s="111"/>
      <c r="AC282" s="111"/>
      <c r="AD282" s="93"/>
      <c r="AE282" s="112"/>
    </row>
    <row r="283" spans="1:31" x14ac:dyDescent="0.35">
      <c r="A283" s="22">
        <f>A276+1</f>
        <v>43</v>
      </c>
      <c r="B283" s="93" t="s">
        <v>554</v>
      </c>
      <c r="C283" s="94" t="s">
        <v>511</v>
      </c>
      <c r="D283" s="95">
        <v>2.34</v>
      </c>
      <c r="E283" s="96">
        <v>4.9000000000000004</v>
      </c>
      <c r="F283" s="97">
        <f>D283*E283</f>
        <v>11.465999999999999</v>
      </c>
      <c r="G283" s="97">
        <f>D283</f>
        <v>2.34</v>
      </c>
      <c r="H283" s="98"/>
      <c r="I283" s="99"/>
      <c r="J283" s="99">
        <f>D284</f>
        <v>5.9690000000000003</v>
      </c>
      <c r="K283" s="99">
        <f>D285</f>
        <v>3.6840000000000002</v>
      </c>
      <c r="L283" s="99">
        <f>D286</f>
        <v>5.9690000000000003</v>
      </c>
      <c r="M283" s="99"/>
      <c r="N283" s="100"/>
      <c r="O283" s="100">
        <f>D287</f>
        <v>2.34</v>
      </c>
      <c r="P283" s="99">
        <f>E283</f>
        <v>4.9000000000000004</v>
      </c>
      <c r="Q283" s="99"/>
      <c r="R283" s="99"/>
      <c r="S283" s="99">
        <f>E284</f>
        <v>3.8000000000000003</v>
      </c>
      <c r="T283" s="99">
        <f>E285</f>
        <v>2.9</v>
      </c>
      <c r="U283" s="99">
        <f>E286</f>
        <v>3.8000000000000003</v>
      </c>
      <c r="V283" s="99"/>
      <c r="W283" s="100"/>
      <c r="X283" s="100">
        <f>E287</f>
        <v>4.9000000000000004</v>
      </c>
      <c r="Y283" s="99"/>
      <c r="Z283" s="99"/>
      <c r="AA283" s="99">
        <f>J283*S283+L283*U283</f>
        <v>45.364400000000003</v>
      </c>
      <c r="AB283" s="99">
        <f>K283*T283</f>
        <v>10.6836</v>
      </c>
      <c r="AC283" s="100">
        <f>O283*X283+G283*P283</f>
        <v>22.931999999999999</v>
      </c>
      <c r="AD283" s="99">
        <f>Y283+Z283+AA283+AB283+AC283</f>
        <v>78.98</v>
      </c>
      <c r="AE283" s="99">
        <f>AD283-AC283</f>
        <v>56.048000000000002</v>
      </c>
    </row>
    <row r="284" spans="1:31" x14ac:dyDescent="0.35">
      <c r="B284" s="101"/>
      <c r="C284" s="102" t="s">
        <v>512</v>
      </c>
      <c r="D284" s="98">
        <v>5.9690000000000003</v>
      </c>
      <c r="E284" s="99">
        <v>3.8000000000000003</v>
      </c>
      <c r="F284" s="100">
        <f>D284*E284</f>
        <v>22.682200000000002</v>
      </c>
      <c r="G284" s="103"/>
      <c r="H284" s="104"/>
      <c r="I284" s="104"/>
      <c r="J284" s="104"/>
      <c r="K284" s="104"/>
      <c r="L284" s="104"/>
      <c r="M284" s="104"/>
      <c r="N284" s="104"/>
      <c r="O284" s="104"/>
      <c r="P284" s="101"/>
      <c r="Q284" s="104"/>
      <c r="R284" s="104"/>
      <c r="S284" s="104"/>
      <c r="T284" s="104"/>
      <c r="U284" s="104"/>
      <c r="V284" s="104"/>
      <c r="W284" s="104"/>
      <c r="X284" s="104"/>
      <c r="Y284" s="101"/>
      <c r="Z284" s="104"/>
      <c r="AA284" s="104"/>
      <c r="AB284" s="104"/>
      <c r="AC284" s="104"/>
      <c r="AD284" s="101"/>
      <c r="AE284" s="105"/>
    </row>
    <row r="285" spans="1:31" x14ac:dyDescent="0.35">
      <c r="B285" s="106"/>
      <c r="C285" s="102" t="s">
        <v>504</v>
      </c>
      <c r="D285" s="98">
        <v>3.6840000000000002</v>
      </c>
      <c r="E285" s="99">
        <v>2.9</v>
      </c>
      <c r="F285" s="100">
        <f>D285*E285</f>
        <v>10.6836</v>
      </c>
    </row>
    <row r="286" spans="1:31" x14ac:dyDescent="0.35">
      <c r="B286" s="106"/>
      <c r="C286" s="102" t="s">
        <v>513</v>
      </c>
      <c r="D286" s="98">
        <v>5.9690000000000003</v>
      </c>
      <c r="E286" s="99">
        <v>3.8000000000000003</v>
      </c>
      <c r="F286" s="100">
        <f>D286*E286</f>
        <v>22.682200000000002</v>
      </c>
    </row>
    <row r="287" spans="1:31" x14ac:dyDescent="0.35">
      <c r="B287" s="106"/>
      <c r="C287" s="102" t="s">
        <v>514</v>
      </c>
      <c r="D287" s="98">
        <v>2.34</v>
      </c>
      <c r="E287" s="99">
        <v>4.9000000000000004</v>
      </c>
      <c r="F287" s="100">
        <f>D287*E287</f>
        <v>11.465999999999999</v>
      </c>
    </row>
    <row r="288" spans="1:31" x14ac:dyDescent="0.35">
      <c r="B288" s="106"/>
      <c r="C288" s="94" t="s">
        <v>491</v>
      </c>
      <c r="D288" s="95">
        <f>SUM(D283:D287)</f>
        <v>20.302000000000003</v>
      </c>
      <c r="E288" s="96"/>
      <c r="F288" s="97">
        <f>SUM(F283:F287)</f>
        <v>78.98</v>
      </c>
      <c r="I288" s="109"/>
      <c r="J288" s="109"/>
      <c r="K288" s="109"/>
      <c r="L288" s="109"/>
      <c r="M288" s="109"/>
      <c r="N288" s="109"/>
      <c r="O288" s="109"/>
      <c r="P288" s="107"/>
      <c r="Q288" s="109"/>
      <c r="R288" s="109"/>
      <c r="S288" s="109"/>
      <c r="T288" s="109"/>
      <c r="U288" s="109"/>
      <c r="V288" s="109"/>
      <c r="W288" s="109"/>
      <c r="X288" s="109"/>
      <c r="Y288" s="107"/>
      <c r="Z288" s="109"/>
      <c r="AA288" s="109"/>
      <c r="AB288" s="109"/>
      <c r="AC288" s="109"/>
      <c r="AD288" s="107"/>
      <c r="AE288" s="110"/>
    </row>
    <row r="289" spans="1:31" x14ac:dyDescent="0.35">
      <c r="B289" s="93"/>
      <c r="C289" s="102" t="s">
        <v>492</v>
      </c>
      <c r="D289" s="98">
        <f>D288-D287</f>
        <v>17.962000000000003</v>
      </c>
      <c r="E289" s="99"/>
      <c r="F289" s="100">
        <f>F288-F287-F283</f>
        <v>56.048000000000009</v>
      </c>
      <c r="G289" s="97"/>
      <c r="H289" s="111"/>
      <c r="I289" s="111"/>
      <c r="J289" s="111"/>
      <c r="K289" s="111"/>
      <c r="L289" s="111"/>
      <c r="M289" s="111"/>
      <c r="N289" s="111"/>
      <c r="O289" s="111"/>
      <c r="P289" s="93"/>
      <c r="Q289" s="111"/>
      <c r="R289" s="111"/>
      <c r="S289" s="111"/>
      <c r="T289" s="111"/>
      <c r="U289" s="111"/>
      <c r="V289" s="111"/>
      <c r="W289" s="111"/>
      <c r="X289" s="111"/>
      <c r="Y289" s="93"/>
      <c r="Z289" s="111"/>
      <c r="AA289" s="111"/>
      <c r="AB289" s="111"/>
      <c r="AC289" s="111"/>
      <c r="AD289" s="93"/>
      <c r="AE289" s="112"/>
    </row>
    <row r="290" spans="1:31" x14ac:dyDescent="0.35">
      <c r="A290" s="22">
        <f>A283+1</f>
        <v>44</v>
      </c>
      <c r="B290" s="93" t="s">
        <v>555</v>
      </c>
      <c r="C290" s="94" t="s">
        <v>511</v>
      </c>
      <c r="D290" s="95">
        <v>1.661</v>
      </c>
      <c r="E290" s="96">
        <v>4.8</v>
      </c>
      <c r="F290" s="97">
        <f>D290*E290</f>
        <v>7.9727999999999994</v>
      </c>
      <c r="G290" s="97">
        <f>D290</f>
        <v>1.661</v>
      </c>
      <c r="H290" s="98"/>
      <c r="I290" s="99"/>
      <c r="J290" s="99">
        <f>D291</f>
        <v>7.6040000000000001</v>
      </c>
      <c r="K290" s="99">
        <f>D292</f>
        <v>3.496</v>
      </c>
      <c r="L290" s="99">
        <f>D293</f>
        <v>7.6040000000000001</v>
      </c>
      <c r="M290" s="99"/>
      <c r="N290" s="100"/>
      <c r="O290" s="100">
        <f>D294</f>
        <v>1.661</v>
      </c>
      <c r="P290" s="99">
        <f>E290</f>
        <v>4.8</v>
      </c>
      <c r="Q290" s="99"/>
      <c r="R290" s="99"/>
      <c r="S290" s="99">
        <f>E291</f>
        <v>3.75</v>
      </c>
      <c r="T290" s="99">
        <f>E292</f>
        <v>2.8000000000000003</v>
      </c>
      <c r="U290" s="99">
        <f>E293</f>
        <v>3.75</v>
      </c>
      <c r="V290" s="99"/>
      <c r="W290" s="100"/>
      <c r="X290" s="100">
        <f>E294</f>
        <v>4.8</v>
      </c>
      <c r="Y290" s="99"/>
      <c r="Z290" s="99"/>
      <c r="AA290" s="99">
        <f>J290*S290+L290*U290</f>
        <v>57.03</v>
      </c>
      <c r="AB290" s="99">
        <f>K290*T290</f>
        <v>9.7888000000000002</v>
      </c>
      <c r="AC290" s="100">
        <f>O290*X290+G290*P290</f>
        <v>15.945599999999999</v>
      </c>
      <c r="AD290" s="99">
        <f>Y290+Z290+AA290+AB290+AC290</f>
        <v>82.764399999999995</v>
      </c>
      <c r="AE290" s="99">
        <f>AD290-AC290</f>
        <v>66.818799999999996</v>
      </c>
    </row>
    <row r="291" spans="1:31" x14ac:dyDescent="0.35">
      <c r="B291" s="101"/>
      <c r="C291" s="102" t="s">
        <v>512</v>
      </c>
      <c r="D291" s="98">
        <v>7.6040000000000001</v>
      </c>
      <c r="E291" s="99">
        <v>3.75</v>
      </c>
      <c r="F291" s="100">
        <f>D291*E291</f>
        <v>28.515000000000001</v>
      </c>
      <c r="G291" s="103"/>
      <c r="H291" s="104"/>
      <c r="I291" s="104"/>
      <c r="J291" s="104"/>
      <c r="K291" s="104"/>
      <c r="L291" s="104"/>
      <c r="M291" s="104"/>
      <c r="N291" s="104"/>
      <c r="O291" s="104"/>
      <c r="P291" s="101"/>
      <c r="Q291" s="104"/>
      <c r="R291" s="104"/>
      <c r="S291" s="104"/>
      <c r="T291" s="104"/>
      <c r="U291" s="104"/>
      <c r="V291" s="104"/>
      <c r="W291" s="104"/>
      <c r="X291" s="104"/>
      <c r="Y291" s="101"/>
      <c r="Z291" s="104"/>
      <c r="AA291" s="104"/>
      <c r="AB291" s="104"/>
      <c r="AC291" s="104"/>
      <c r="AD291" s="101"/>
      <c r="AE291" s="105"/>
    </row>
    <row r="292" spans="1:31" x14ac:dyDescent="0.35">
      <c r="B292" s="106"/>
      <c r="C292" s="102" t="s">
        <v>504</v>
      </c>
      <c r="D292" s="98">
        <v>3.496</v>
      </c>
      <c r="E292" s="99">
        <v>2.8000000000000003</v>
      </c>
      <c r="F292" s="100">
        <f>D292*E292</f>
        <v>9.7888000000000002</v>
      </c>
    </row>
    <row r="293" spans="1:31" x14ac:dyDescent="0.35">
      <c r="B293" s="106"/>
      <c r="C293" s="102" t="s">
        <v>513</v>
      </c>
      <c r="D293" s="98">
        <v>7.6040000000000001</v>
      </c>
      <c r="E293" s="99">
        <v>3.75</v>
      </c>
      <c r="F293" s="100">
        <f>D293*E293</f>
        <v>28.515000000000001</v>
      </c>
    </row>
    <row r="294" spans="1:31" x14ac:dyDescent="0.35">
      <c r="B294" s="106"/>
      <c r="C294" s="102" t="s">
        <v>514</v>
      </c>
      <c r="D294" s="98">
        <v>1.661</v>
      </c>
      <c r="E294" s="99">
        <v>4.8</v>
      </c>
      <c r="F294" s="100">
        <f>D294*E294</f>
        <v>7.9727999999999994</v>
      </c>
    </row>
    <row r="295" spans="1:31" x14ac:dyDescent="0.35">
      <c r="B295" s="106"/>
      <c r="C295" s="94" t="s">
        <v>491</v>
      </c>
      <c r="D295" s="95">
        <f>SUM(D290:D294)</f>
        <v>22.026000000000003</v>
      </c>
      <c r="E295" s="96"/>
      <c r="F295" s="97">
        <f>SUM(F290:F294)</f>
        <v>82.764399999999995</v>
      </c>
      <c r="I295" s="109"/>
      <c r="J295" s="109"/>
      <c r="K295" s="109"/>
      <c r="L295" s="109"/>
      <c r="M295" s="109"/>
      <c r="N295" s="109"/>
      <c r="O295" s="109"/>
      <c r="P295" s="107"/>
      <c r="Q295" s="109"/>
      <c r="R295" s="109"/>
      <c r="S295" s="109"/>
      <c r="T295" s="109"/>
      <c r="U295" s="109"/>
      <c r="V295" s="109"/>
      <c r="W295" s="109"/>
      <c r="X295" s="109"/>
      <c r="Y295" s="107"/>
      <c r="Z295" s="109"/>
      <c r="AA295" s="109"/>
      <c r="AB295" s="109"/>
      <c r="AC295" s="109"/>
      <c r="AD295" s="107"/>
      <c r="AE295" s="110"/>
    </row>
    <row r="296" spans="1:31" x14ac:dyDescent="0.35">
      <c r="B296" s="93"/>
      <c r="C296" s="102" t="s">
        <v>492</v>
      </c>
      <c r="D296" s="98">
        <f>D295-D294</f>
        <v>20.365000000000002</v>
      </c>
      <c r="E296" s="99"/>
      <c r="F296" s="100">
        <f>F295-F294-F290</f>
        <v>66.818799999999982</v>
      </c>
      <c r="G296" s="97"/>
      <c r="H296" s="111"/>
      <c r="I296" s="111"/>
      <c r="J296" s="111"/>
      <c r="K296" s="111"/>
      <c r="L296" s="111"/>
      <c r="M296" s="111"/>
      <c r="N296" s="111"/>
      <c r="O296" s="111"/>
      <c r="P296" s="93"/>
      <c r="Q296" s="111"/>
      <c r="R296" s="111"/>
      <c r="S296" s="111"/>
      <c r="T296" s="111"/>
      <c r="U296" s="111"/>
      <c r="V296" s="111"/>
      <c r="W296" s="111"/>
      <c r="X296" s="111"/>
      <c r="Y296" s="93"/>
      <c r="Z296" s="111"/>
      <c r="AA296" s="111"/>
      <c r="AB296" s="111"/>
      <c r="AC296" s="111"/>
      <c r="AD296" s="93"/>
      <c r="AE296" s="112"/>
    </row>
    <row r="297" spans="1:31" x14ac:dyDescent="0.35">
      <c r="A297" s="22">
        <f>A290+1</f>
        <v>45</v>
      </c>
      <c r="B297" s="93" t="s">
        <v>556</v>
      </c>
      <c r="C297" s="94" t="s">
        <v>511</v>
      </c>
      <c r="D297" s="95">
        <v>1.8</v>
      </c>
      <c r="E297" s="96">
        <v>4.6000000000000005</v>
      </c>
      <c r="F297" s="97">
        <f>D297*E297</f>
        <v>8.2800000000000011</v>
      </c>
      <c r="G297" s="97">
        <f>D297</f>
        <v>1.8</v>
      </c>
      <c r="H297" s="98"/>
      <c r="I297" s="99"/>
      <c r="J297" s="99">
        <f>D298</f>
        <v>8.98</v>
      </c>
      <c r="K297" s="99">
        <f>D299</f>
        <v>7.36</v>
      </c>
      <c r="L297" s="99">
        <f>D300</f>
        <v>8.98</v>
      </c>
      <c r="M297" s="99"/>
      <c r="N297" s="100"/>
      <c r="O297" s="100">
        <f>D301</f>
        <v>1.8</v>
      </c>
      <c r="P297" s="99">
        <f>E297</f>
        <v>4.6000000000000005</v>
      </c>
      <c r="Q297" s="99"/>
      <c r="R297" s="99"/>
      <c r="S297" s="99">
        <f>E298</f>
        <v>3.335</v>
      </c>
      <c r="T297" s="99">
        <f>E299</f>
        <v>3</v>
      </c>
      <c r="U297" s="99">
        <f>E300</f>
        <v>3.335</v>
      </c>
      <c r="V297" s="99"/>
      <c r="W297" s="100"/>
      <c r="X297" s="100">
        <f>E301</f>
        <v>4.6000000000000005</v>
      </c>
      <c r="Y297" s="99"/>
      <c r="Z297" s="99"/>
      <c r="AA297" s="99">
        <f>J297*S297+L297*U297</f>
        <v>59.896599999999999</v>
      </c>
      <c r="AB297" s="99">
        <f>K297*T297</f>
        <v>22.080000000000002</v>
      </c>
      <c r="AC297" s="100">
        <f>O297*X297+G297*P297</f>
        <v>16.560000000000002</v>
      </c>
      <c r="AD297" s="99">
        <f>Y297+Z297+AA297+AB297+AC297</f>
        <v>98.536600000000007</v>
      </c>
      <c r="AE297" s="99">
        <f>AD297-AC297</f>
        <v>81.976600000000005</v>
      </c>
    </row>
    <row r="298" spans="1:31" x14ac:dyDescent="0.35">
      <c r="B298" s="101"/>
      <c r="C298" s="102" t="s">
        <v>512</v>
      </c>
      <c r="D298" s="98">
        <v>8.98</v>
      </c>
      <c r="E298" s="99">
        <v>3.335</v>
      </c>
      <c r="F298" s="100">
        <f>D298*E298</f>
        <v>29.9483</v>
      </c>
      <c r="G298" s="103"/>
      <c r="H298" s="104"/>
      <c r="I298" s="104"/>
      <c r="J298" s="104"/>
      <c r="K298" s="104"/>
      <c r="L298" s="104"/>
      <c r="M298" s="104"/>
      <c r="N298" s="104"/>
      <c r="O298" s="104"/>
      <c r="P298" s="101"/>
      <c r="Q298" s="104"/>
      <c r="R298" s="104"/>
      <c r="S298" s="104"/>
      <c r="T298" s="104"/>
      <c r="U298" s="104"/>
      <c r="V298" s="104"/>
      <c r="W298" s="104"/>
      <c r="X298" s="104"/>
      <c r="Y298" s="101"/>
      <c r="Z298" s="104"/>
      <c r="AA298" s="104"/>
      <c r="AB298" s="104"/>
      <c r="AC298" s="104"/>
      <c r="AD298" s="101"/>
      <c r="AE298" s="105"/>
    </row>
    <row r="299" spans="1:31" x14ac:dyDescent="0.35">
      <c r="B299" s="106"/>
      <c r="C299" s="102" t="s">
        <v>504</v>
      </c>
      <c r="D299" s="98">
        <v>7.36</v>
      </c>
      <c r="E299" s="99">
        <v>3</v>
      </c>
      <c r="F299" s="100">
        <f>D299*E299</f>
        <v>22.080000000000002</v>
      </c>
    </row>
    <row r="300" spans="1:31" x14ac:dyDescent="0.35">
      <c r="B300" s="106"/>
      <c r="C300" s="102" t="s">
        <v>513</v>
      </c>
      <c r="D300" s="98">
        <v>8.98</v>
      </c>
      <c r="E300" s="99">
        <v>3.335</v>
      </c>
      <c r="F300" s="100">
        <f>D300*E300</f>
        <v>29.9483</v>
      </c>
    </row>
    <row r="301" spans="1:31" x14ac:dyDescent="0.35">
      <c r="B301" s="106"/>
      <c r="C301" s="102" t="s">
        <v>514</v>
      </c>
      <c r="D301" s="98">
        <v>1.8</v>
      </c>
      <c r="E301" s="99">
        <v>4.6000000000000005</v>
      </c>
      <c r="F301" s="100">
        <f>D301*E301</f>
        <v>8.2800000000000011</v>
      </c>
    </row>
    <row r="302" spans="1:31" x14ac:dyDescent="0.35">
      <c r="B302" s="106"/>
      <c r="C302" s="94" t="s">
        <v>491</v>
      </c>
      <c r="D302" s="95">
        <f>SUM(D297:D301)</f>
        <v>28.92</v>
      </c>
      <c r="E302" s="96"/>
      <c r="F302" s="97">
        <f>SUM(F297:F301)</f>
        <v>98.536600000000007</v>
      </c>
      <c r="I302" s="109"/>
      <c r="J302" s="109"/>
      <c r="K302" s="109"/>
      <c r="L302" s="109"/>
      <c r="M302" s="109"/>
      <c r="N302" s="109"/>
      <c r="O302" s="109"/>
      <c r="P302" s="107"/>
      <c r="Q302" s="109"/>
      <c r="R302" s="109"/>
      <c r="S302" s="109"/>
      <c r="T302" s="109"/>
      <c r="U302" s="109"/>
      <c r="V302" s="109"/>
      <c r="W302" s="109"/>
      <c r="X302" s="109"/>
      <c r="Y302" s="107"/>
      <c r="Z302" s="109"/>
      <c r="AA302" s="109"/>
      <c r="AB302" s="109"/>
      <c r="AC302" s="109"/>
      <c r="AD302" s="107"/>
      <c r="AE302" s="110"/>
    </row>
    <row r="303" spans="1:31" x14ac:dyDescent="0.35">
      <c r="B303" s="93"/>
      <c r="C303" s="102" t="s">
        <v>492</v>
      </c>
      <c r="D303" s="98">
        <f>D302-D301</f>
        <v>27.12</v>
      </c>
      <c r="E303" s="99"/>
      <c r="F303" s="100">
        <f>F302-F301-F297</f>
        <v>81.976600000000005</v>
      </c>
      <c r="G303" s="97"/>
      <c r="H303" s="111"/>
      <c r="I303" s="111"/>
      <c r="J303" s="111"/>
      <c r="K303" s="111"/>
      <c r="L303" s="111"/>
      <c r="M303" s="111"/>
      <c r="N303" s="111"/>
      <c r="O303" s="111"/>
      <c r="P303" s="93"/>
      <c r="Q303" s="111"/>
      <c r="R303" s="111"/>
      <c r="S303" s="111"/>
      <c r="T303" s="111"/>
      <c r="U303" s="111"/>
      <c r="V303" s="111"/>
      <c r="W303" s="111"/>
      <c r="X303" s="111"/>
      <c r="Y303" s="93"/>
      <c r="Z303" s="111"/>
      <c r="AA303" s="111"/>
      <c r="AB303" s="111"/>
      <c r="AC303" s="111"/>
      <c r="AD303" s="93"/>
      <c r="AE303" s="112"/>
    </row>
    <row r="304" spans="1:31" x14ac:dyDescent="0.35">
      <c r="A304" s="22">
        <f>A297+1</f>
        <v>46</v>
      </c>
      <c r="B304" s="93" t="s">
        <v>557</v>
      </c>
      <c r="C304" s="94" t="s">
        <v>558</v>
      </c>
      <c r="D304" s="95">
        <v>6.84</v>
      </c>
      <c r="E304" s="96">
        <v>4.7</v>
      </c>
      <c r="F304" s="97">
        <f t="shared" ref="F304:F310" si="5">D304*E304</f>
        <v>32.148000000000003</v>
      </c>
      <c r="G304" s="97">
        <f>D304</f>
        <v>6.84</v>
      </c>
      <c r="H304" s="98"/>
      <c r="I304" s="99">
        <f>D306</f>
        <v>5.4359999999999999</v>
      </c>
      <c r="J304" s="99">
        <f>D305</f>
        <v>5.3579999999999997</v>
      </c>
      <c r="K304" s="99">
        <f>D307</f>
        <v>3.62</v>
      </c>
      <c r="L304" s="99">
        <f>D309</f>
        <v>5.3579999999999997</v>
      </c>
      <c r="M304" s="99">
        <f>D308</f>
        <v>5.4359999999999999</v>
      </c>
      <c r="N304" s="100"/>
      <c r="O304" s="100">
        <f>D310</f>
        <v>6.84</v>
      </c>
      <c r="P304" s="99">
        <f>E304</f>
        <v>4.7</v>
      </c>
      <c r="Q304" s="99"/>
      <c r="R304" s="99">
        <f>E306</f>
        <v>3.0500000000000003</v>
      </c>
      <c r="S304" s="99">
        <f>E305</f>
        <v>3.85</v>
      </c>
      <c r="T304" s="99">
        <f>E307</f>
        <v>2.6</v>
      </c>
      <c r="U304" s="99">
        <f>E309</f>
        <v>3.85</v>
      </c>
      <c r="V304" s="99">
        <f>E308</f>
        <v>3.0500000000000003</v>
      </c>
      <c r="W304" s="100"/>
      <c r="X304" s="100">
        <f>E310</f>
        <v>4.7</v>
      </c>
      <c r="Y304" s="99"/>
      <c r="Z304" s="99">
        <f>I304*R304+M304*V304</f>
        <v>33.159600000000005</v>
      </c>
      <c r="AA304" s="99">
        <f>J304*S304+L304*U304</f>
        <v>41.256599999999999</v>
      </c>
      <c r="AB304" s="99">
        <f>K304*T304</f>
        <v>9.4120000000000008</v>
      </c>
      <c r="AC304" s="100">
        <f>O304*X304+G304*P304</f>
        <v>64.296000000000006</v>
      </c>
      <c r="AD304" s="99">
        <f>Y304+Z304+AA304+AB304+AC304</f>
        <v>148.12420000000003</v>
      </c>
      <c r="AE304" s="99">
        <f>AD304-AC304</f>
        <v>83.828200000000024</v>
      </c>
    </row>
    <row r="305" spans="1:31" x14ac:dyDescent="0.35">
      <c r="B305" s="101"/>
      <c r="C305" s="102" t="s">
        <v>559</v>
      </c>
      <c r="D305" s="98">
        <v>5.3579999999999997</v>
      </c>
      <c r="E305" s="99">
        <v>3.85</v>
      </c>
      <c r="F305" s="100">
        <f t="shared" si="5"/>
        <v>20.628299999999999</v>
      </c>
      <c r="G305" s="103"/>
      <c r="H305" s="104"/>
      <c r="I305" s="104"/>
      <c r="J305" s="104"/>
      <c r="K305" s="104"/>
      <c r="L305" s="104"/>
      <c r="M305" s="104"/>
      <c r="N305" s="104"/>
      <c r="O305" s="104"/>
      <c r="P305" s="101"/>
      <c r="Q305" s="104"/>
      <c r="R305" s="104"/>
      <c r="S305" s="104"/>
      <c r="T305" s="104"/>
      <c r="U305" s="104"/>
      <c r="V305" s="104"/>
      <c r="W305" s="104"/>
      <c r="X305" s="104"/>
      <c r="Y305" s="101"/>
      <c r="Z305" s="104"/>
      <c r="AA305" s="104"/>
      <c r="AB305" s="104"/>
      <c r="AC305" s="104"/>
      <c r="AD305" s="101"/>
      <c r="AE305" s="105"/>
    </row>
    <row r="306" spans="1:31" x14ac:dyDescent="0.35">
      <c r="B306" s="106"/>
      <c r="C306" s="102" t="s">
        <v>503</v>
      </c>
      <c r="D306" s="98">
        <v>5.4359999999999999</v>
      </c>
      <c r="E306" s="99">
        <v>3.0500000000000003</v>
      </c>
      <c r="F306" s="100">
        <f t="shared" si="5"/>
        <v>16.579800000000002</v>
      </c>
    </row>
    <row r="307" spans="1:31" x14ac:dyDescent="0.35">
      <c r="B307" s="106"/>
      <c r="C307" s="102" t="s">
        <v>504</v>
      </c>
      <c r="D307" s="98">
        <v>3.62</v>
      </c>
      <c r="E307" s="99">
        <v>2.6</v>
      </c>
      <c r="F307" s="100">
        <f t="shared" si="5"/>
        <v>9.4120000000000008</v>
      </c>
    </row>
    <row r="308" spans="1:31" x14ac:dyDescent="0.35">
      <c r="B308" s="106"/>
      <c r="C308" s="102" t="s">
        <v>503</v>
      </c>
      <c r="D308" s="98">
        <v>5.4359999999999999</v>
      </c>
      <c r="E308" s="99">
        <v>3.0500000000000003</v>
      </c>
      <c r="F308" s="100">
        <f t="shared" si="5"/>
        <v>16.579800000000002</v>
      </c>
    </row>
    <row r="309" spans="1:31" x14ac:dyDescent="0.35">
      <c r="B309" s="106"/>
      <c r="C309" s="102" t="s">
        <v>12</v>
      </c>
      <c r="D309" s="98">
        <v>5.3579999999999997</v>
      </c>
      <c r="E309" s="99">
        <v>3.85</v>
      </c>
      <c r="F309" s="100">
        <f t="shared" si="5"/>
        <v>20.628299999999999</v>
      </c>
    </row>
    <row r="310" spans="1:31" x14ac:dyDescent="0.35">
      <c r="B310" s="106"/>
      <c r="C310" s="102" t="s">
        <v>558</v>
      </c>
      <c r="D310" s="98">
        <v>6.84</v>
      </c>
      <c r="E310" s="99">
        <v>4.7</v>
      </c>
      <c r="F310" s="100">
        <f t="shared" si="5"/>
        <v>32.148000000000003</v>
      </c>
    </row>
    <row r="311" spans="1:31" x14ac:dyDescent="0.35">
      <c r="B311" s="106"/>
      <c r="C311" s="94" t="s">
        <v>491</v>
      </c>
      <c r="D311" s="95">
        <f>SUM(D304:D310)</f>
        <v>38.888000000000005</v>
      </c>
      <c r="E311" s="96"/>
      <c r="F311" s="97">
        <f>SUM(F304:F310)</f>
        <v>148.12420000000003</v>
      </c>
      <c r="I311" s="109"/>
      <c r="J311" s="109"/>
      <c r="K311" s="109"/>
      <c r="L311" s="109"/>
      <c r="M311" s="109"/>
      <c r="N311" s="109"/>
      <c r="O311" s="109"/>
      <c r="P311" s="107"/>
      <c r="Q311" s="109"/>
      <c r="R311" s="109"/>
      <c r="S311" s="109"/>
      <c r="T311" s="109"/>
      <c r="U311" s="109"/>
      <c r="V311" s="109"/>
      <c r="W311" s="109"/>
      <c r="X311" s="109"/>
      <c r="Y311" s="107"/>
      <c r="Z311" s="109"/>
      <c r="AA311" s="109"/>
      <c r="AB311" s="109"/>
      <c r="AC311" s="109"/>
      <c r="AD311" s="107"/>
      <c r="AE311" s="110"/>
    </row>
    <row r="312" spans="1:31" x14ac:dyDescent="0.35">
      <c r="B312" s="93"/>
      <c r="C312" s="102" t="s">
        <v>492</v>
      </c>
      <c r="D312" s="98">
        <f>D311-D310</f>
        <v>32.048000000000002</v>
      </c>
      <c r="E312" s="99"/>
      <c r="F312" s="100">
        <f>F311-F310-F304</f>
        <v>83.828200000000038</v>
      </c>
      <c r="G312" s="97"/>
      <c r="H312" s="111"/>
      <c r="I312" s="111"/>
      <c r="J312" s="111"/>
      <c r="K312" s="111"/>
      <c r="L312" s="111"/>
      <c r="M312" s="111"/>
      <c r="N312" s="111"/>
      <c r="O312" s="111"/>
      <c r="P312" s="93"/>
      <c r="Q312" s="111"/>
      <c r="R312" s="111"/>
      <c r="S312" s="111"/>
      <c r="T312" s="111"/>
      <c r="U312" s="111"/>
      <c r="V312" s="111"/>
      <c r="W312" s="111"/>
      <c r="X312" s="111"/>
      <c r="Y312" s="93"/>
      <c r="Z312" s="111"/>
      <c r="AA312" s="111"/>
      <c r="AB312" s="111"/>
      <c r="AC312" s="111"/>
      <c r="AD312" s="93"/>
      <c r="AE312" s="112"/>
    </row>
    <row r="313" spans="1:31" x14ac:dyDescent="0.35">
      <c r="A313" s="22">
        <f>A304+1</f>
        <v>47</v>
      </c>
      <c r="B313" s="93" t="s">
        <v>560</v>
      </c>
      <c r="C313" s="94" t="s">
        <v>558</v>
      </c>
      <c r="D313" s="95">
        <v>6.4729999999999999</v>
      </c>
      <c r="E313" s="96">
        <v>4.6000000000000005</v>
      </c>
      <c r="F313" s="97">
        <f t="shared" ref="F313:F319" si="6">D313*E313</f>
        <v>29.775800000000004</v>
      </c>
      <c r="G313" s="97">
        <f>D313</f>
        <v>6.4729999999999999</v>
      </c>
      <c r="H313" s="98"/>
      <c r="I313" s="99">
        <f>D315</f>
        <v>6.7089999999999996</v>
      </c>
      <c r="J313" s="99">
        <f>D314</f>
        <v>4.7359999999999998</v>
      </c>
      <c r="K313" s="99">
        <f>D316</f>
        <v>3.6120000000000001</v>
      </c>
      <c r="L313" s="99">
        <f>D318</f>
        <v>4.7359999999999998</v>
      </c>
      <c r="M313" s="99">
        <f>D317</f>
        <v>6.7089999999999996</v>
      </c>
      <c r="N313" s="100"/>
      <c r="O313" s="100">
        <f>D319</f>
        <v>6.4729999999999999</v>
      </c>
      <c r="P313" s="99">
        <f>E313</f>
        <v>4.6000000000000005</v>
      </c>
      <c r="Q313" s="99"/>
      <c r="R313" s="99">
        <f>E315</f>
        <v>3.0500000000000003</v>
      </c>
      <c r="S313" s="99">
        <f>E314</f>
        <v>3.85</v>
      </c>
      <c r="T313" s="99">
        <f>E316</f>
        <v>2.06</v>
      </c>
      <c r="U313" s="99">
        <f>E318</f>
        <v>3.85</v>
      </c>
      <c r="V313" s="99">
        <f>E317</f>
        <v>3.0500000000000003</v>
      </c>
      <c r="W313" s="100"/>
      <c r="X313" s="100">
        <f>E319</f>
        <v>4.6000000000000005</v>
      </c>
      <c r="Y313" s="99"/>
      <c r="Z313" s="99">
        <f>I313*R313+M313*V313</f>
        <v>40.924900000000001</v>
      </c>
      <c r="AA313" s="99">
        <f>J313*S313+L313*U313</f>
        <v>36.467199999999998</v>
      </c>
      <c r="AB313" s="99">
        <f>K313*T313</f>
        <v>7.4407200000000007</v>
      </c>
      <c r="AC313" s="100">
        <f>O313*X313+G313*P313</f>
        <v>59.551600000000008</v>
      </c>
      <c r="AD313" s="99">
        <f>Y313+Z313+AA313+AB313+AC313</f>
        <v>144.38442000000001</v>
      </c>
      <c r="AE313" s="99">
        <f>AD313-AC313</f>
        <v>84.832819999999998</v>
      </c>
    </row>
    <row r="314" spans="1:31" x14ac:dyDescent="0.35">
      <c r="B314" s="101"/>
      <c r="C314" s="102" t="s">
        <v>559</v>
      </c>
      <c r="D314" s="98">
        <v>4.7359999999999998</v>
      </c>
      <c r="E314" s="99">
        <v>3.85</v>
      </c>
      <c r="F314" s="100">
        <f t="shared" si="6"/>
        <v>18.233599999999999</v>
      </c>
      <c r="G314" s="103"/>
      <c r="H314" s="104"/>
      <c r="I314" s="104"/>
      <c r="J314" s="104"/>
      <c r="K314" s="104"/>
      <c r="L314" s="104"/>
      <c r="M314" s="104"/>
      <c r="N314" s="104"/>
      <c r="O314" s="104"/>
      <c r="P314" s="101"/>
      <c r="Q314" s="104"/>
      <c r="R314" s="104"/>
      <c r="S314" s="104"/>
      <c r="T314" s="104"/>
      <c r="U314" s="104"/>
      <c r="V314" s="104"/>
      <c r="W314" s="104"/>
      <c r="X314" s="104"/>
      <c r="Y314" s="101"/>
      <c r="Z314" s="104"/>
      <c r="AA314" s="104"/>
      <c r="AB314" s="104"/>
      <c r="AC314" s="104"/>
      <c r="AD314" s="101"/>
      <c r="AE314" s="105"/>
    </row>
    <row r="315" spans="1:31" x14ac:dyDescent="0.35">
      <c r="B315" s="106"/>
      <c r="C315" s="102" t="s">
        <v>503</v>
      </c>
      <c r="D315" s="98">
        <v>6.7089999999999996</v>
      </c>
      <c r="E315" s="99">
        <v>3.0500000000000003</v>
      </c>
      <c r="F315" s="100">
        <f t="shared" si="6"/>
        <v>20.46245</v>
      </c>
    </row>
    <row r="316" spans="1:31" x14ac:dyDescent="0.35">
      <c r="B316" s="106"/>
      <c r="C316" s="102" t="s">
        <v>504</v>
      </c>
      <c r="D316" s="98">
        <v>3.6120000000000001</v>
      </c>
      <c r="E316" s="99">
        <v>2.06</v>
      </c>
      <c r="F316" s="100">
        <f t="shared" si="6"/>
        <v>7.4407200000000007</v>
      </c>
    </row>
    <row r="317" spans="1:31" x14ac:dyDescent="0.35">
      <c r="B317" s="106"/>
      <c r="C317" s="102" t="s">
        <v>503</v>
      </c>
      <c r="D317" s="98">
        <v>6.7089999999999996</v>
      </c>
      <c r="E317" s="99">
        <v>3.0500000000000003</v>
      </c>
      <c r="F317" s="100">
        <f t="shared" si="6"/>
        <v>20.46245</v>
      </c>
    </row>
    <row r="318" spans="1:31" x14ac:dyDescent="0.35">
      <c r="B318" s="106"/>
      <c r="C318" s="102" t="s">
        <v>12</v>
      </c>
      <c r="D318" s="98">
        <v>4.7359999999999998</v>
      </c>
      <c r="E318" s="99">
        <v>3.85</v>
      </c>
      <c r="F318" s="100">
        <f t="shared" si="6"/>
        <v>18.233599999999999</v>
      </c>
    </row>
    <row r="319" spans="1:31" x14ac:dyDescent="0.35">
      <c r="B319" s="106"/>
      <c r="C319" s="102" t="s">
        <v>558</v>
      </c>
      <c r="D319" s="95">
        <v>6.4729999999999999</v>
      </c>
      <c r="E319" s="96">
        <v>4.6000000000000005</v>
      </c>
      <c r="F319" s="97">
        <f t="shared" si="6"/>
        <v>29.775800000000004</v>
      </c>
    </row>
    <row r="320" spans="1:31" x14ac:dyDescent="0.35">
      <c r="B320" s="106"/>
      <c r="C320" s="94" t="s">
        <v>491</v>
      </c>
      <c r="D320" s="95">
        <f>SUM(D313:D319)</f>
        <v>39.448</v>
      </c>
      <c r="E320" s="96"/>
      <c r="F320" s="97">
        <f>SUM(F313:F319)</f>
        <v>144.38442000000001</v>
      </c>
      <c r="I320" s="109"/>
      <c r="J320" s="109"/>
      <c r="K320" s="109"/>
      <c r="L320" s="109"/>
      <c r="M320" s="109"/>
      <c r="N320" s="109"/>
      <c r="O320" s="109"/>
      <c r="P320" s="107"/>
      <c r="Q320" s="109"/>
      <c r="R320" s="109"/>
      <c r="S320" s="109"/>
      <c r="T320" s="109"/>
      <c r="U320" s="109"/>
      <c r="V320" s="109"/>
      <c r="W320" s="109"/>
      <c r="X320" s="109"/>
      <c r="Y320" s="107"/>
      <c r="Z320" s="109"/>
      <c r="AA320" s="109"/>
      <c r="AB320" s="109"/>
      <c r="AC320" s="109"/>
      <c r="AD320" s="107"/>
      <c r="AE320" s="110"/>
    </row>
    <row r="321" spans="1:31" x14ac:dyDescent="0.35">
      <c r="B321" s="93"/>
      <c r="C321" s="102" t="s">
        <v>492</v>
      </c>
      <c r="D321" s="98">
        <f>D320-D319</f>
        <v>32.975000000000001</v>
      </c>
      <c r="E321" s="99"/>
      <c r="F321" s="100">
        <f>F320-F319-F313</f>
        <v>84.832819999999998</v>
      </c>
      <c r="G321" s="97"/>
      <c r="H321" s="111"/>
      <c r="I321" s="111"/>
      <c r="J321" s="111"/>
      <c r="K321" s="111"/>
      <c r="L321" s="111"/>
      <c r="M321" s="111"/>
      <c r="N321" s="111"/>
      <c r="O321" s="111"/>
      <c r="P321" s="93"/>
      <c r="Q321" s="111"/>
      <c r="R321" s="111"/>
      <c r="S321" s="111"/>
      <c r="T321" s="111"/>
      <c r="U321" s="111"/>
      <c r="V321" s="111"/>
      <c r="W321" s="111"/>
      <c r="X321" s="111"/>
      <c r="Y321" s="93"/>
      <c r="Z321" s="111"/>
      <c r="AA321" s="111"/>
      <c r="AB321" s="111"/>
      <c r="AC321" s="111"/>
      <c r="AD321" s="93"/>
      <c r="AE321" s="112"/>
    </row>
    <row r="322" spans="1:31" x14ac:dyDescent="0.35">
      <c r="A322" s="22">
        <f>A313+1</f>
        <v>48</v>
      </c>
      <c r="B322" s="93" t="s">
        <v>561</v>
      </c>
      <c r="C322" s="94" t="s">
        <v>558</v>
      </c>
      <c r="D322" s="95">
        <v>8.1</v>
      </c>
      <c r="E322" s="96">
        <v>4.7</v>
      </c>
      <c r="F322" s="97">
        <f t="shared" ref="F322:F328" si="7">D322*E322</f>
        <v>38.07</v>
      </c>
      <c r="G322" s="97">
        <f>D322</f>
        <v>8.1</v>
      </c>
      <c r="H322" s="98"/>
      <c r="I322" s="99">
        <f>D324</f>
        <v>7.5890000000000004</v>
      </c>
      <c r="J322" s="99">
        <f>D323</f>
        <v>7.2290000000000001</v>
      </c>
      <c r="K322" s="99">
        <f>D325</f>
        <v>3.5139999999999998</v>
      </c>
      <c r="L322" s="99">
        <f>D327</f>
        <v>7.2290000000000001</v>
      </c>
      <c r="M322" s="99">
        <f>D326</f>
        <v>7.5890000000000004</v>
      </c>
      <c r="N322" s="100"/>
      <c r="O322" s="100">
        <f>D328</f>
        <v>8.1</v>
      </c>
      <c r="P322" s="99">
        <f>E322</f>
        <v>4.7</v>
      </c>
      <c r="Q322" s="99"/>
      <c r="R322" s="99">
        <f>E324</f>
        <v>3.1</v>
      </c>
      <c r="S322" s="99">
        <f>E323</f>
        <v>3.85</v>
      </c>
      <c r="T322" s="99">
        <f>E325</f>
        <v>2.65</v>
      </c>
      <c r="U322" s="99">
        <f>E327</f>
        <v>3.85</v>
      </c>
      <c r="V322" s="99">
        <f>E326</f>
        <v>3.1</v>
      </c>
      <c r="W322" s="100"/>
      <c r="X322" s="100">
        <f>E328</f>
        <v>4.7</v>
      </c>
      <c r="Y322" s="99"/>
      <c r="Z322" s="99">
        <f>I322*R322+M322*V322</f>
        <v>47.051800000000007</v>
      </c>
      <c r="AA322" s="99">
        <f>J322*S322+L322*U322</f>
        <v>55.6633</v>
      </c>
      <c r="AB322" s="99">
        <f>K322*T322</f>
        <v>9.3120999999999992</v>
      </c>
      <c r="AC322" s="100">
        <f>O322*X322+G322*P322</f>
        <v>76.14</v>
      </c>
      <c r="AD322" s="99">
        <f>Y322+Z322+AA322+AB322+AC322</f>
        <v>188.16720000000001</v>
      </c>
      <c r="AE322" s="99">
        <f>AD322-AC322</f>
        <v>112.02720000000001</v>
      </c>
    </row>
    <row r="323" spans="1:31" x14ac:dyDescent="0.35">
      <c r="B323" s="101"/>
      <c r="C323" s="102" t="s">
        <v>559</v>
      </c>
      <c r="D323" s="98">
        <v>7.2290000000000001</v>
      </c>
      <c r="E323" s="99">
        <v>3.85</v>
      </c>
      <c r="F323" s="100">
        <f t="shared" si="7"/>
        <v>27.83165</v>
      </c>
      <c r="G323" s="103"/>
      <c r="H323" s="104"/>
      <c r="I323" s="104"/>
      <c r="J323" s="104"/>
      <c r="K323" s="104"/>
      <c r="L323" s="104"/>
      <c r="M323" s="104"/>
      <c r="N323" s="104"/>
      <c r="O323" s="104"/>
      <c r="P323" s="101"/>
      <c r="Q323" s="104"/>
      <c r="R323" s="104"/>
      <c r="S323" s="104"/>
      <c r="T323" s="104"/>
      <c r="U323" s="104"/>
      <c r="V323" s="104"/>
      <c r="W323" s="104"/>
      <c r="X323" s="104"/>
      <c r="Y323" s="101"/>
      <c r="Z323" s="104"/>
      <c r="AA323" s="104"/>
      <c r="AB323" s="104"/>
      <c r="AC323" s="104"/>
      <c r="AD323" s="101"/>
      <c r="AE323" s="105"/>
    </row>
    <row r="324" spans="1:31" x14ac:dyDescent="0.35">
      <c r="B324" s="106"/>
      <c r="C324" s="102" t="s">
        <v>503</v>
      </c>
      <c r="D324" s="98">
        <v>7.5890000000000004</v>
      </c>
      <c r="E324" s="99">
        <v>3.1</v>
      </c>
      <c r="F324" s="100">
        <f t="shared" si="7"/>
        <v>23.525900000000004</v>
      </c>
    </row>
    <row r="325" spans="1:31" x14ac:dyDescent="0.35">
      <c r="B325" s="106"/>
      <c r="C325" s="102" t="s">
        <v>504</v>
      </c>
      <c r="D325" s="98">
        <v>3.5139999999999998</v>
      </c>
      <c r="E325" s="99">
        <v>2.65</v>
      </c>
      <c r="F325" s="100">
        <f t="shared" si="7"/>
        <v>9.3120999999999992</v>
      </c>
    </row>
    <row r="326" spans="1:31" x14ac:dyDescent="0.35">
      <c r="B326" s="106"/>
      <c r="C326" s="102" t="s">
        <v>503</v>
      </c>
      <c r="D326" s="98">
        <v>7.5890000000000004</v>
      </c>
      <c r="E326" s="99">
        <v>3.1</v>
      </c>
      <c r="F326" s="100">
        <f t="shared" si="7"/>
        <v>23.525900000000004</v>
      </c>
    </row>
    <row r="327" spans="1:31" x14ac:dyDescent="0.35">
      <c r="B327" s="106"/>
      <c r="C327" s="102" t="s">
        <v>12</v>
      </c>
      <c r="D327" s="98">
        <v>7.2290000000000001</v>
      </c>
      <c r="E327" s="99">
        <v>3.85</v>
      </c>
      <c r="F327" s="100">
        <f t="shared" si="7"/>
        <v>27.83165</v>
      </c>
    </row>
    <row r="328" spans="1:31" x14ac:dyDescent="0.35">
      <c r="B328" s="106"/>
      <c r="C328" s="102" t="s">
        <v>558</v>
      </c>
      <c r="D328" s="95">
        <v>8.1</v>
      </c>
      <c r="E328" s="96">
        <v>4.7</v>
      </c>
      <c r="F328" s="97">
        <f t="shared" si="7"/>
        <v>38.07</v>
      </c>
    </row>
    <row r="329" spans="1:31" x14ac:dyDescent="0.35">
      <c r="B329" s="106"/>
      <c r="C329" s="94" t="s">
        <v>491</v>
      </c>
      <c r="D329" s="95">
        <f>SUM(D322:D328)</f>
        <v>49.35</v>
      </c>
      <c r="E329" s="96"/>
      <c r="F329" s="97">
        <f>SUM(F322:F328)</f>
        <v>188.16720000000001</v>
      </c>
      <c r="I329" s="109"/>
      <c r="J329" s="109"/>
      <c r="K329" s="109"/>
      <c r="L329" s="109"/>
      <c r="M329" s="109"/>
      <c r="N329" s="109"/>
      <c r="O329" s="109"/>
      <c r="P329" s="107"/>
      <c r="Q329" s="109"/>
      <c r="R329" s="109"/>
      <c r="S329" s="109"/>
      <c r="T329" s="109"/>
      <c r="U329" s="109"/>
      <c r="V329" s="109"/>
      <c r="W329" s="109"/>
      <c r="X329" s="109"/>
      <c r="Y329" s="107"/>
      <c r="Z329" s="109"/>
      <c r="AA329" s="109"/>
      <c r="AB329" s="109"/>
      <c r="AC329" s="109"/>
      <c r="AD329" s="107"/>
      <c r="AE329" s="110"/>
    </row>
    <row r="330" spans="1:31" x14ac:dyDescent="0.35">
      <c r="B330" s="93"/>
      <c r="C330" s="102" t="s">
        <v>492</v>
      </c>
      <c r="D330" s="98">
        <f>D329-D328</f>
        <v>41.25</v>
      </c>
      <c r="E330" s="99"/>
      <c r="F330" s="100">
        <f>F329-F328-F322</f>
        <v>112.02720000000002</v>
      </c>
      <c r="G330" s="97"/>
      <c r="H330" s="111"/>
      <c r="I330" s="111"/>
      <c r="J330" s="111"/>
      <c r="K330" s="111"/>
      <c r="L330" s="111"/>
      <c r="M330" s="111"/>
      <c r="N330" s="111"/>
      <c r="O330" s="111"/>
      <c r="P330" s="93"/>
      <c r="Q330" s="111"/>
      <c r="R330" s="111"/>
      <c r="S330" s="111"/>
      <c r="T330" s="111"/>
      <c r="U330" s="111"/>
      <c r="V330" s="111"/>
      <c r="W330" s="111"/>
      <c r="X330" s="111"/>
      <c r="Y330" s="93"/>
      <c r="Z330" s="111"/>
      <c r="AA330" s="111"/>
      <c r="AB330" s="111"/>
      <c r="AC330" s="111"/>
      <c r="AD330" s="93"/>
      <c r="AE330" s="112"/>
    </row>
    <row r="331" spans="1:31" x14ac:dyDescent="0.35">
      <c r="A331" s="22">
        <f>A322+1</f>
        <v>49</v>
      </c>
      <c r="B331" s="93" t="s">
        <v>562</v>
      </c>
      <c r="C331" s="94" t="s">
        <v>563</v>
      </c>
      <c r="D331" s="95">
        <v>12.499000000000001</v>
      </c>
      <c r="E331" s="96">
        <v>4.7</v>
      </c>
      <c r="F331" s="97">
        <f>D331*E331</f>
        <v>58.745300000000007</v>
      </c>
      <c r="G331" s="97">
        <f>D331</f>
        <v>12.499000000000001</v>
      </c>
      <c r="H331" s="98"/>
      <c r="I331" s="99"/>
      <c r="J331" s="99">
        <f>D332</f>
        <v>14.308999999999999</v>
      </c>
      <c r="K331" s="99">
        <f>D333</f>
        <v>19.702999999999999</v>
      </c>
      <c r="L331" s="99">
        <f>D334</f>
        <v>10.202999999999999</v>
      </c>
      <c r="M331" s="99"/>
      <c r="N331" s="100"/>
      <c r="O331" s="100">
        <f>D335</f>
        <v>7.0620000000000003</v>
      </c>
      <c r="P331" s="99">
        <f>E331</f>
        <v>4.7</v>
      </c>
      <c r="Q331" s="99"/>
      <c r="R331" s="99"/>
      <c r="S331" s="99">
        <f>E332</f>
        <v>3.9</v>
      </c>
      <c r="T331" s="99">
        <f>E333</f>
        <v>3</v>
      </c>
      <c r="U331" s="99">
        <f>E334</f>
        <v>3.9</v>
      </c>
      <c r="V331" s="99"/>
      <c r="W331" s="100"/>
      <c r="X331" s="100">
        <f>E335</f>
        <v>4.7</v>
      </c>
      <c r="Y331" s="99"/>
      <c r="Z331" s="99"/>
      <c r="AA331" s="99">
        <f>J331*S331+L331*U331</f>
        <v>95.596800000000002</v>
      </c>
      <c r="AB331" s="99">
        <f>K331*T331</f>
        <v>59.108999999999995</v>
      </c>
      <c r="AC331" s="100">
        <f>O331*X331+G331*P331</f>
        <v>91.936700000000002</v>
      </c>
      <c r="AD331" s="99">
        <f>Y331+Z331+AA331+AB331+AC331</f>
        <v>246.64250000000001</v>
      </c>
      <c r="AE331" s="99">
        <f>AD331-AC331</f>
        <v>154.70580000000001</v>
      </c>
    </row>
    <row r="332" spans="1:31" x14ac:dyDescent="0.35">
      <c r="B332" s="101"/>
      <c r="C332" s="102" t="s">
        <v>564</v>
      </c>
      <c r="D332" s="98">
        <v>14.308999999999999</v>
      </c>
      <c r="E332" s="99">
        <v>3.9</v>
      </c>
      <c r="F332" s="100">
        <f>D332*E332</f>
        <v>55.805099999999996</v>
      </c>
      <c r="G332" s="103"/>
      <c r="H332" s="104"/>
      <c r="I332" s="104"/>
      <c r="J332" s="104"/>
      <c r="K332" s="104"/>
      <c r="L332" s="104"/>
      <c r="M332" s="104"/>
      <c r="N332" s="104"/>
      <c r="O332" s="104"/>
      <c r="P332" s="101"/>
      <c r="Q332" s="104"/>
      <c r="R332" s="104"/>
      <c r="S332" s="104"/>
      <c r="T332" s="104"/>
      <c r="U332" s="104"/>
      <c r="V332" s="104"/>
      <c r="W332" s="104"/>
      <c r="X332" s="104"/>
      <c r="Y332" s="101"/>
      <c r="Z332" s="104"/>
      <c r="AA332" s="104"/>
      <c r="AB332" s="104"/>
      <c r="AC332" s="104"/>
      <c r="AD332" s="101"/>
      <c r="AE332" s="105"/>
    </row>
    <row r="333" spans="1:31" x14ac:dyDescent="0.35">
      <c r="B333" s="106"/>
      <c r="C333" s="102" t="s">
        <v>504</v>
      </c>
      <c r="D333" s="98">
        <v>19.702999999999999</v>
      </c>
      <c r="E333" s="99">
        <v>3</v>
      </c>
      <c r="F333" s="100">
        <f>D333*E333</f>
        <v>59.108999999999995</v>
      </c>
    </row>
    <row r="334" spans="1:31" x14ac:dyDescent="0.35">
      <c r="B334" s="106"/>
      <c r="C334" s="102" t="s">
        <v>565</v>
      </c>
      <c r="D334" s="98">
        <v>10.202999999999999</v>
      </c>
      <c r="E334" s="99">
        <v>3.9</v>
      </c>
      <c r="F334" s="100">
        <f>D334*E334</f>
        <v>39.791699999999999</v>
      </c>
    </row>
    <row r="335" spans="1:31" x14ac:dyDescent="0.35">
      <c r="B335" s="106"/>
      <c r="C335" s="102" t="s">
        <v>566</v>
      </c>
      <c r="D335" s="98">
        <v>7.0620000000000003</v>
      </c>
      <c r="E335" s="99">
        <v>4.7</v>
      </c>
      <c r="F335" s="100">
        <f>D335*E335</f>
        <v>33.191400000000002</v>
      </c>
    </row>
    <row r="336" spans="1:31" x14ac:dyDescent="0.35">
      <c r="B336" s="106"/>
      <c r="C336" s="94" t="s">
        <v>491</v>
      </c>
      <c r="D336" s="95">
        <f>SUM(D331:D335)</f>
        <v>63.775999999999996</v>
      </c>
      <c r="E336" s="96"/>
      <c r="F336" s="97">
        <f>SUM(F331:F335)</f>
        <v>246.64249999999998</v>
      </c>
      <c r="I336" s="109"/>
      <c r="J336" s="109"/>
      <c r="K336" s="109"/>
      <c r="L336" s="109"/>
      <c r="M336" s="109"/>
      <c r="N336" s="109"/>
      <c r="O336" s="109"/>
      <c r="P336" s="107"/>
      <c r="Q336" s="109"/>
      <c r="R336" s="109"/>
      <c r="S336" s="109"/>
      <c r="T336" s="109"/>
      <c r="U336" s="109"/>
      <c r="V336" s="109"/>
      <c r="W336" s="109"/>
      <c r="X336" s="109"/>
      <c r="Y336" s="107"/>
      <c r="Z336" s="109"/>
      <c r="AA336" s="109"/>
      <c r="AB336" s="109"/>
      <c r="AC336" s="109"/>
      <c r="AD336" s="107"/>
      <c r="AE336" s="110"/>
    </row>
    <row r="337" spans="1:31" x14ac:dyDescent="0.35">
      <c r="B337" s="93"/>
      <c r="C337" s="102" t="s">
        <v>492</v>
      </c>
      <c r="D337" s="98">
        <f>D336-D335</f>
        <v>56.713999999999999</v>
      </c>
      <c r="E337" s="99"/>
      <c r="F337" s="100">
        <f>F336-F335-F331</f>
        <v>154.70579999999998</v>
      </c>
      <c r="G337" s="97"/>
      <c r="H337" s="111"/>
      <c r="I337" s="111"/>
      <c r="J337" s="111"/>
      <c r="K337" s="111"/>
      <c r="L337" s="111"/>
      <c r="M337" s="111"/>
      <c r="N337" s="111"/>
      <c r="O337" s="111"/>
      <c r="P337" s="93"/>
      <c r="Q337" s="111"/>
      <c r="R337" s="111"/>
      <c r="S337" s="111"/>
      <c r="T337" s="111"/>
      <c r="U337" s="111"/>
      <c r="V337" s="111"/>
      <c r="W337" s="111"/>
      <c r="X337" s="111"/>
      <c r="Y337" s="93"/>
      <c r="Z337" s="111"/>
      <c r="AA337" s="111"/>
      <c r="AB337" s="111"/>
      <c r="AC337" s="111"/>
      <c r="AD337" s="93"/>
      <c r="AE337" s="112"/>
    </row>
    <row r="338" spans="1:31" x14ac:dyDescent="0.35">
      <c r="A338" s="22">
        <f>A331+1</f>
        <v>50</v>
      </c>
      <c r="B338" s="93" t="s">
        <v>567</v>
      </c>
      <c r="C338" s="94" t="s">
        <v>558</v>
      </c>
      <c r="D338" s="95">
        <v>9.75</v>
      </c>
      <c r="E338" s="96">
        <v>4.7</v>
      </c>
      <c r="F338" s="97">
        <f t="shared" ref="F338:F344" si="8">D338*E338</f>
        <v>45.825000000000003</v>
      </c>
      <c r="G338" s="97">
        <f>D338</f>
        <v>9.75</v>
      </c>
      <c r="H338" s="98"/>
      <c r="I338" s="99">
        <f>D340</f>
        <v>6.125</v>
      </c>
      <c r="J338" s="99">
        <f>D339</f>
        <v>11.747999999999999</v>
      </c>
      <c r="K338" s="99">
        <f>D341</f>
        <v>18.404</v>
      </c>
      <c r="L338" s="99">
        <f>D343</f>
        <v>11.747999999999999</v>
      </c>
      <c r="M338" s="99">
        <f>D342</f>
        <v>6.125</v>
      </c>
      <c r="N338" s="100"/>
      <c r="O338" s="100">
        <f>D344</f>
        <v>9.75</v>
      </c>
      <c r="P338" s="99">
        <f>E338</f>
        <v>4.7</v>
      </c>
      <c r="Q338" s="99"/>
      <c r="R338" s="99">
        <f>E340</f>
        <v>3.2</v>
      </c>
      <c r="S338" s="99">
        <f>E339</f>
        <v>3.9</v>
      </c>
      <c r="T338" s="99">
        <f>E341</f>
        <v>3</v>
      </c>
      <c r="U338" s="99">
        <f>E343</f>
        <v>3.9</v>
      </c>
      <c r="V338" s="99">
        <f>E342</f>
        <v>3.2</v>
      </c>
      <c r="W338" s="100"/>
      <c r="X338" s="100">
        <f>E344</f>
        <v>4.7</v>
      </c>
      <c r="Y338" s="99"/>
      <c r="Z338" s="99">
        <f>I338*R338+M338*V338</f>
        <v>39.200000000000003</v>
      </c>
      <c r="AA338" s="99">
        <f>J338*S338+L338*U338</f>
        <v>91.634399999999999</v>
      </c>
      <c r="AB338" s="99">
        <f>K338*T338</f>
        <v>55.212000000000003</v>
      </c>
      <c r="AC338" s="100">
        <f>O338*X338+G338*P338</f>
        <v>91.65</v>
      </c>
      <c r="AD338" s="99">
        <f>Y338+Z338+AA338+AB338+AC338</f>
        <v>277.69640000000004</v>
      </c>
      <c r="AE338" s="99">
        <f>AD338-AC338</f>
        <v>186.04640000000003</v>
      </c>
    </row>
    <row r="339" spans="1:31" x14ac:dyDescent="0.35">
      <c r="B339" s="101"/>
      <c r="C339" s="102" t="s">
        <v>559</v>
      </c>
      <c r="D339" s="98">
        <v>11.747999999999999</v>
      </c>
      <c r="E339" s="99">
        <v>3.9</v>
      </c>
      <c r="F339" s="100">
        <f t="shared" si="8"/>
        <v>45.8172</v>
      </c>
      <c r="G339" s="103"/>
      <c r="H339" s="104"/>
      <c r="I339" s="104"/>
      <c r="J339" s="104"/>
      <c r="K339" s="104"/>
      <c r="L339" s="104"/>
      <c r="M339" s="104"/>
      <c r="N339" s="104"/>
      <c r="O339" s="104"/>
      <c r="P339" s="101"/>
      <c r="Q339" s="104"/>
      <c r="R339" s="104"/>
      <c r="S339" s="104"/>
      <c r="T339" s="104"/>
      <c r="U339" s="104"/>
      <c r="V339" s="104"/>
      <c r="W339" s="104"/>
      <c r="X339" s="104"/>
      <c r="Y339" s="101"/>
      <c r="Z339" s="104"/>
      <c r="AA339" s="104"/>
      <c r="AB339" s="104"/>
      <c r="AC339" s="104"/>
      <c r="AD339" s="101"/>
      <c r="AE339" s="105"/>
    </row>
    <row r="340" spans="1:31" x14ac:dyDescent="0.35">
      <c r="B340" s="106"/>
      <c r="C340" s="102" t="s">
        <v>503</v>
      </c>
      <c r="D340" s="98">
        <v>6.125</v>
      </c>
      <c r="E340" s="99">
        <v>3.2</v>
      </c>
      <c r="F340" s="100">
        <f t="shared" si="8"/>
        <v>19.600000000000001</v>
      </c>
    </row>
    <row r="341" spans="1:31" x14ac:dyDescent="0.35">
      <c r="B341" s="106"/>
      <c r="C341" s="102" t="s">
        <v>504</v>
      </c>
      <c r="D341" s="98">
        <v>18.404</v>
      </c>
      <c r="E341" s="99">
        <v>3</v>
      </c>
      <c r="F341" s="100">
        <f t="shared" si="8"/>
        <v>55.212000000000003</v>
      </c>
    </row>
    <row r="342" spans="1:31" x14ac:dyDescent="0.35">
      <c r="B342" s="106"/>
      <c r="C342" s="102" t="s">
        <v>503</v>
      </c>
      <c r="D342" s="98">
        <v>6.125</v>
      </c>
      <c r="E342" s="99">
        <v>3.2</v>
      </c>
      <c r="F342" s="100">
        <f t="shared" si="8"/>
        <v>19.600000000000001</v>
      </c>
    </row>
    <row r="343" spans="1:31" x14ac:dyDescent="0.35">
      <c r="B343" s="106"/>
      <c r="C343" s="102" t="s">
        <v>12</v>
      </c>
      <c r="D343" s="98">
        <v>11.747999999999999</v>
      </c>
      <c r="E343" s="99">
        <v>3.9</v>
      </c>
      <c r="F343" s="100">
        <f t="shared" si="8"/>
        <v>45.8172</v>
      </c>
    </row>
    <row r="344" spans="1:31" x14ac:dyDescent="0.35">
      <c r="B344" s="106"/>
      <c r="C344" s="102" t="s">
        <v>558</v>
      </c>
      <c r="D344" s="95">
        <v>9.75</v>
      </c>
      <c r="E344" s="96">
        <v>4.7</v>
      </c>
      <c r="F344" s="97">
        <f t="shared" si="8"/>
        <v>45.825000000000003</v>
      </c>
    </row>
    <row r="345" spans="1:31" x14ac:dyDescent="0.35">
      <c r="B345" s="106"/>
      <c r="C345" s="94" t="s">
        <v>491</v>
      </c>
      <c r="D345" s="95">
        <f>SUM(D338:D344)</f>
        <v>73.650000000000006</v>
      </c>
      <c r="E345" s="96"/>
      <c r="F345" s="97">
        <f>SUM(F338:F344)</f>
        <v>277.69639999999998</v>
      </c>
      <c r="I345" s="109"/>
      <c r="J345" s="109"/>
      <c r="K345" s="109"/>
      <c r="L345" s="109"/>
      <c r="M345" s="109"/>
      <c r="N345" s="109"/>
      <c r="O345" s="109"/>
      <c r="P345" s="107"/>
      <c r="Q345" s="109"/>
      <c r="R345" s="109"/>
      <c r="S345" s="109"/>
      <c r="T345" s="109"/>
      <c r="U345" s="109"/>
      <c r="V345" s="109"/>
      <c r="W345" s="109"/>
      <c r="X345" s="109"/>
      <c r="Y345" s="107"/>
      <c r="Z345" s="109"/>
      <c r="AA345" s="109"/>
      <c r="AB345" s="109"/>
      <c r="AC345" s="109"/>
      <c r="AD345" s="107"/>
      <c r="AE345" s="110"/>
    </row>
    <row r="346" spans="1:31" x14ac:dyDescent="0.35">
      <c r="B346" s="93"/>
      <c r="C346" s="102" t="s">
        <v>492</v>
      </c>
      <c r="D346" s="98">
        <f>D345-D344</f>
        <v>63.900000000000006</v>
      </c>
      <c r="E346" s="99"/>
      <c r="F346" s="100">
        <f>F345-F344-F338</f>
        <v>186.04640000000001</v>
      </c>
      <c r="G346" s="97"/>
      <c r="H346" s="111"/>
      <c r="I346" s="111"/>
      <c r="J346" s="111"/>
      <c r="K346" s="111"/>
      <c r="L346" s="111"/>
      <c r="M346" s="111"/>
      <c r="N346" s="111"/>
      <c r="O346" s="111"/>
      <c r="P346" s="93"/>
      <c r="Q346" s="111"/>
      <c r="R346" s="111"/>
      <c r="S346" s="111"/>
      <c r="T346" s="111"/>
      <c r="U346" s="111"/>
      <c r="V346" s="111"/>
      <c r="W346" s="111"/>
      <c r="X346" s="111"/>
      <c r="Y346" s="93"/>
      <c r="Z346" s="111"/>
      <c r="AA346" s="111"/>
      <c r="AB346" s="111"/>
      <c r="AC346" s="111"/>
      <c r="AD346" s="93"/>
      <c r="AE346" s="112"/>
    </row>
    <row r="347" spans="1:31" x14ac:dyDescent="0.35">
      <c r="A347" s="22">
        <f>A338+1</f>
        <v>51</v>
      </c>
      <c r="B347" s="93" t="s">
        <v>568</v>
      </c>
      <c r="C347" s="94" t="s">
        <v>558</v>
      </c>
      <c r="D347" s="95">
        <v>16.920000000000002</v>
      </c>
      <c r="E347" s="96">
        <v>4.7</v>
      </c>
      <c r="F347" s="97">
        <f t="shared" ref="F347:F353" si="9">D347*E347</f>
        <v>79.524000000000015</v>
      </c>
      <c r="G347" s="97">
        <f>D347</f>
        <v>16.920000000000002</v>
      </c>
      <c r="H347" s="98"/>
      <c r="I347" s="99">
        <f>D349</f>
        <v>10.846</v>
      </c>
      <c r="J347" s="99">
        <f>D348</f>
        <v>11.861000000000001</v>
      </c>
      <c r="K347" s="99">
        <f>D350</f>
        <v>19.350000000000001</v>
      </c>
      <c r="L347" s="99">
        <f>D352</f>
        <v>11.861000000000001</v>
      </c>
      <c r="M347" s="99">
        <f>D351</f>
        <v>10.846</v>
      </c>
      <c r="N347" s="100"/>
      <c r="O347" s="100">
        <f>D353</f>
        <v>16.920000000000002</v>
      </c>
      <c r="P347" s="99">
        <f>E347</f>
        <v>4.7</v>
      </c>
      <c r="Q347" s="99"/>
      <c r="R347" s="99">
        <f>E349</f>
        <v>3.25</v>
      </c>
      <c r="S347" s="99">
        <f>E348</f>
        <v>3.85</v>
      </c>
      <c r="T347" s="99">
        <f>E350</f>
        <v>2.8000000000000003</v>
      </c>
      <c r="U347" s="99">
        <f>E352</f>
        <v>3.85</v>
      </c>
      <c r="V347" s="99">
        <f>E351</f>
        <v>3.25</v>
      </c>
      <c r="W347" s="100"/>
      <c r="X347" s="100">
        <f>E353</f>
        <v>4.7</v>
      </c>
      <c r="Y347" s="99"/>
      <c r="Z347" s="99">
        <f>I347*R347+M347*V347</f>
        <v>70.498999999999995</v>
      </c>
      <c r="AA347" s="99">
        <f>J347*S347+L347*U347</f>
        <v>91.329700000000003</v>
      </c>
      <c r="AB347" s="99">
        <f>K347*T347</f>
        <v>54.180000000000007</v>
      </c>
      <c r="AC347" s="100">
        <f>O347*X347+G347*P347</f>
        <v>159.04800000000003</v>
      </c>
      <c r="AD347" s="99">
        <f>Y347+Z347+AA347+AB347+AC347</f>
        <v>375.05670000000003</v>
      </c>
      <c r="AE347" s="99">
        <f>AD347-AC347</f>
        <v>216.0087</v>
      </c>
    </row>
    <row r="348" spans="1:31" x14ac:dyDescent="0.35">
      <c r="B348" s="101"/>
      <c r="C348" s="102" t="s">
        <v>559</v>
      </c>
      <c r="D348" s="98">
        <v>11.861000000000001</v>
      </c>
      <c r="E348" s="99">
        <v>3.85</v>
      </c>
      <c r="F348" s="100">
        <f t="shared" si="9"/>
        <v>45.664850000000001</v>
      </c>
      <c r="G348" s="103"/>
      <c r="H348" s="104"/>
      <c r="I348" s="104"/>
      <c r="J348" s="104"/>
      <c r="K348" s="104"/>
      <c r="L348" s="104"/>
      <c r="M348" s="104"/>
      <c r="N348" s="104"/>
      <c r="O348" s="104"/>
      <c r="P348" s="101"/>
      <c r="Q348" s="104"/>
      <c r="R348" s="104"/>
      <c r="S348" s="104"/>
      <c r="T348" s="104"/>
      <c r="U348" s="104"/>
      <c r="V348" s="104"/>
      <c r="W348" s="104"/>
      <c r="X348" s="104"/>
      <c r="Y348" s="101"/>
      <c r="Z348" s="104"/>
      <c r="AA348" s="104"/>
      <c r="AB348" s="104"/>
      <c r="AC348" s="104"/>
      <c r="AD348" s="101"/>
      <c r="AE348" s="105"/>
    </row>
    <row r="349" spans="1:31" x14ac:dyDescent="0.35">
      <c r="B349" s="106"/>
      <c r="C349" s="102" t="s">
        <v>503</v>
      </c>
      <c r="D349" s="98">
        <v>10.846</v>
      </c>
      <c r="E349" s="99">
        <v>3.25</v>
      </c>
      <c r="F349" s="100">
        <f t="shared" si="9"/>
        <v>35.249499999999998</v>
      </c>
    </row>
    <row r="350" spans="1:31" x14ac:dyDescent="0.35">
      <c r="B350" s="106"/>
      <c r="C350" s="102" t="s">
        <v>504</v>
      </c>
      <c r="D350" s="98">
        <v>19.350000000000001</v>
      </c>
      <c r="E350" s="99">
        <v>2.8000000000000003</v>
      </c>
      <c r="F350" s="100">
        <f t="shared" si="9"/>
        <v>54.180000000000007</v>
      </c>
    </row>
    <row r="351" spans="1:31" x14ac:dyDescent="0.35">
      <c r="B351" s="106"/>
      <c r="C351" s="102" t="s">
        <v>503</v>
      </c>
      <c r="D351" s="98">
        <v>10.846</v>
      </c>
      <c r="E351" s="99">
        <v>3.25</v>
      </c>
      <c r="F351" s="100">
        <f t="shared" si="9"/>
        <v>35.249499999999998</v>
      </c>
    </row>
    <row r="352" spans="1:31" x14ac:dyDescent="0.35">
      <c r="B352" s="106"/>
      <c r="C352" s="102" t="s">
        <v>12</v>
      </c>
      <c r="D352" s="98">
        <v>11.861000000000001</v>
      </c>
      <c r="E352" s="99">
        <v>3.85</v>
      </c>
      <c r="F352" s="100">
        <f t="shared" si="9"/>
        <v>45.664850000000001</v>
      </c>
    </row>
    <row r="353" spans="1:31" x14ac:dyDescent="0.35">
      <c r="B353" s="106"/>
      <c r="C353" s="102" t="s">
        <v>558</v>
      </c>
      <c r="D353" s="95">
        <v>16.920000000000002</v>
      </c>
      <c r="E353" s="96">
        <v>4.7</v>
      </c>
      <c r="F353" s="97">
        <f t="shared" si="9"/>
        <v>79.524000000000015</v>
      </c>
    </row>
    <row r="354" spans="1:31" x14ac:dyDescent="0.35">
      <c r="B354" s="106"/>
      <c r="C354" s="94" t="s">
        <v>491</v>
      </c>
      <c r="D354" s="95">
        <f>SUM(D347:D353)</f>
        <v>98.604000000000013</v>
      </c>
      <c r="E354" s="96"/>
      <c r="F354" s="97">
        <f>SUM(F347:F353)</f>
        <v>375.05670000000003</v>
      </c>
      <c r="I354" s="109"/>
      <c r="J354" s="109"/>
      <c r="K354" s="109"/>
      <c r="L354" s="109"/>
      <c r="M354" s="109"/>
      <c r="N354" s="109"/>
      <c r="O354" s="109"/>
      <c r="P354" s="107"/>
      <c r="Q354" s="109"/>
      <c r="R354" s="109"/>
      <c r="S354" s="109"/>
      <c r="T354" s="109"/>
      <c r="U354" s="109"/>
      <c r="V354" s="109"/>
      <c r="W354" s="109"/>
      <c r="X354" s="109"/>
      <c r="Y354" s="107"/>
      <c r="Z354" s="109"/>
      <c r="AA354" s="109"/>
      <c r="AB354" s="109"/>
      <c r="AC354" s="109"/>
      <c r="AD354" s="107"/>
      <c r="AE354" s="110"/>
    </row>
    <row r="355" spans="1:31" x14ac:dyDescent="0.35">
      <c r="B355" s="93"/>
      <c r="C355" s="102" t="s">
        <v>492</v>
      </c>
      <c r="D355" s="98">
        <f>D354-D353</f>
        <v>81.684000000000012</v>
      </c>
      <c r="E355" s="99"/>
      <c r="F355" s="100">
        <f>F354-F353-F347</f>
        <v>216.00870000000003</v>
      </c>
      <c r="G355" s="97"/>
      <c r="H355" s="111"/>
      <c r="I355" s="111"/>
      <c r="J355" s="111"/>
      <c r="K355" s="111"/>
      <c r="L355" s="111"/>
      <c r="M355" s="111"/>
      <c r="N355" s="111"/>
      <c r="O355" s="111"/>
      <c r="P355" s="93"/>
      <c r="Q355" s="111"/>
      <c r="R355" s="111"/>
      <c r="S355" s="111"/>
      <c r="T355" s="111"/>
      <c r="U355" s="111"/>
      <c r="V355" s="111"/>
      <c r="W355" s="111"/>
      <c r="X355" s="111"/>
      <c r="Y355" s="93"/>
      <c r="Z355" s="111"/>
      <c r="AA355" s="111"/>
      <c r="AB355" s="111"/>
      <c r="AC355" s="111"/>
      <c r="AD355" s="93"/>
      <c r="AE355" s="112"/>
    </row>
    <row r="356" spans="1:31" x14ac:dyDescent="0.35">
      <c r="A356" s="22">
        <f>A347+1</f>
        <v>52</v>
      </c>
      <c r="B356" s="93" t="s">
        <v>569</v>
      </c>
      <c r="C356" s="94" t="s">
        <v>558</v>
      </c>
      <c r="D356" s="95">
        <v>7.3650000000000002</v>
      </c>
      <c r="E356" s="96">
        <v>4.7</v>
      </c>
      <c r="F356" s="97">
        <f>D356*E356</f>
        <v>34.615500000000004</v>
      </c>
      <c r="G356" s="97">
        <f>D356</f>
        <v>7.3650000000000002</v>
      </c>
      <c r="H356" s="98"/>
      <c r="I356" s="99"/>
      <c r="J356" s="99">
        <f>D357</f>
        <v>6.008</v>
      </c>
      <c r="K356" s="99">
        <f>D358</f>
        <v>21.21</v>
      </c>
      <c r="L356" s="99">
        <f>D359</f>
        <v>6.008</v>
      </c>
      <c r="M356" s="99"/>
      <c r="N356" s="100"/>
      <c r="O356" s="100">
        <f>D360</f>
        <v>7.3650000000000002</v>
      </c>
      <c r="P356" s="99">
        <f>E356</f>
        <v>4.7</v>
      </c>
      <c r="Q356" s="99"/>
      <c r="R356" s="99"/>
      <c r="S356" s="99">
        <f>E357</f>
        <v>3.9</v>
      </c>
      <c r="T356" s="99">
        <f>E358</f>
        <v>3.1</v>
      </c>
      <c r="U356" s="99">
        <f>E359</f>
        <v>3.9</v>
      </c>
      <c r="V356" s="99"/>
      <c r="W356" s="100"/>
      <c r="X356" s="100">
        <f>E360</f>
        <v>4.7</v>
      </c>
      <c r="Y356" s="99"/>
      <c r="Z356" s="99"/>
      <c r="AA356" s="99">
        <f>J356*S356+L356*U356</f>
        <v>46.862400000000001</v>
      </c>
      <c r="AB356" s="99">
        <f>K356*T356</f>
        <v>65.751000000000005</v>
      </c>
      <c r="AC356" s="100">
        <f>O356*X356+G356*P356</f>
        <v>69.231000000000009</v>
      </c>
      <c r="AD356" s="99">
        <f>Y356+Z356+AA356+AB356+AC356</f>
        <v>181.84440000000001</v>
      </c>
      <c r="AE356" s="99">
        <f>AD356-AC356</f>
        <v>112.6134</v>
      </c>
    </row>
    <row r="357" spans="1:31" x14ac:dyDescent="0.35">
      <c r="B357" s="101"/>
      <c r="C357" s="102" t="s">
        <v>559</v>
      </c>
      <c r="D357" s="98">
        <v>6.008</v>
      </c>
      <c r="E357" s="99">
        <v>3.9</v>
      </c>
      <c r="F357" s="100">
        <f>D357*E357</f>
        <v>23.4312</v>
      </c>
      <c r="G357" s="103"/>
      <c r="H357" s="104"/>
      <c r="I357" s="104"/>
      <c r="J357" s="104"/>
      <c r="K357" s="104"/>
      <c r="L357" s="104"/>
      <c r="M357" s="104"/>
      <c r="N357" s="104"/>
      <c r="O357" s="104"/>
      <c r="P357" s="101"/>
      <c r="Q357" s="104"/>
      <c r="R357" s="104"/>
      <c r="S357" s="104"/>
      <c r="T357" s="104"/>
      <c r="U357" s="104"/>
      <c r="V357" s="104"/>
      <c r="W357" s="104"/>
      <c r="X357" s="104"/>
      <c r="Y357" s="101"/>
      <c r="Z357" s="104"/>
      <c r="AA357" s="104"/>
      <c r="AB357" s="104"/>
      <c r="AC357" s="104"/>
      <c r="AD357" s="101"/>
      <c r="AE357" s="105"/>
    </row>
    <row r="358" spans="1:31" x14ac:dyDescent="0.35">
      <c r="B358" s="106"/>
      <c r="C358" s="102" t="s">
        <v>523</v>
      </c>
      <c r="D358" s="98">
        <v>21.21</v>
      </c>
      <c r="E358" s="99">
        <v>3.1</v>
      </c>
      <c r="F358" s="100">
        <f>D358*E358</f>
        <v>65.751000000000005</v>
      </c>
    </row>
    <row r="359" spans="1:31" x14ac:dyDescent="0.35">
      <c r="B359" s="106"/>
      <c r="C359" s="102" t="s">
        <v>559</v>
      </c>
      <c r="D359" s="98">
        <v>6.008</v>
      </c>
      <c r="E359" s="99">
        <v>3.9</v>
      </c>
      <c r="F359" s="100">
        <f>D359*E359</f>
        <v>23.4312</v>
      </c>
    </row>
    <row r="360" spans="1:31" x14ac:dyDescent="0.35">
      <c r="B360" s="106"/>
      <c r="C360" s="94" t="s">
        <v>558</v>
      </c>
      <c r="D360" s="95">
        <v>7.3650000000000002</v>
      </c>
      <c r="E360" s="96">
        <v>4.7</v>
      </c>
      <c r="F360" s="97">
        <f>D360*E360</f>
        <v>34.615500000000004</v>
      </c>
    </row>
    <row r="361" spans="1:31" x14ac:dyDescent="0.35">
      <c r="B361" s="106"/>
      <c r="C361" s="94" t="s">
        <v>491</v>
      </c>
      <c r="D361" s="95">
        <f>SUM(D356:D360)</f>
        <v>47.956000000000003</v>
      </c>
      <c r="E361" s="96"/>
      <c r="F361" s="97">
        <f>SUM(F356:F360)</f>
        <v>181.84440000000001</v>
      </c>
      <c r="I361" s="109"/>
      <c r="J361" s="109"/>
      <c r="K361" s="109"/>
      <c r="L361" s="109"/>
      <c r="M361" s="109"/>
      <c r="N361" s="109"/>
      <c r="O361" s="109"/>
      <c r="P361" s="107"/>
      <c r="Q361" s="109"/>
      <c r="R361" s="109"/>
      <c r="S361" s="109"/>
      <c r="T361" s="109"/>
      <c r="U361" s="109"/>
      <c r="V361" s="109"/>
      <c r="W361" s="109"/>
      <c r="X361" s="109"/>
      <c r="Y361" s="107"/>
      <c r="Z361" s="109"/>
      <c r="AA361" s="109"/>
      <c r="AB361" s="109"/>
      <c r="AC361" s="109"/>
      <c r="AD361" s="107"/>
      <c r="AE361" s="110"/>
    </row>
    <row r="362" spans="1:31" x14ac:dyDescent="0.35">
      <c r="B362" s="93"/>
      <c r="C362" s="102" t="s">
        <v>492</v>
      </c>
      <c r="D362" s="98">
        <f>D361-D360</f>
        <v>40.591000000000001</v>
      </c>
      <c r="E362" s="99"/>
      <c r="F362" s="100">
        <f>F361-F360-F356</f>
        <v>112.61340000000001</v>
      </c>
      <c r="G362" s="97"/>
      <c r="H362" s="111"/>
      <c r="I362" s="111"/>
      <c r="J362" s="111"/>
      <c r="K362" s="111"/>
      <c r="L362" s="111"/>
      <c r="M362" s="111"/>
      <c r="N362" s="111"/>
      <c r="O362" s="111"/>
      <c r="P362" s="93"/>
      <c r="Q362" s="111"/>
      <c r="R362" s="111"/>
      <c r="S362" s="111"/>
      <c r="T362" s="111"/>
      <c r="U362" s="111"/>
      <c r="V362" s="111"/>
      <c r="W362" s="111"/>
      <c r="X362" s="111"/>
      <c r="Y362" s="93"/>
      <c r="Z362" s="111"/>
      <c r="AA362" s="111"/>
      <c r="AB362" s="111"/>
      <c r="AC362" s="111"/>
      <c r="AD362" s="93"/>
      <c r="AE362" s="112"/>
    </row>
    <row r="363" spans="1:31" x14ac:dyDescent="0.35">
      <c r="A363" s="22">
        <f>A356+1</f>
        <v>53</v>
      </c>
      <c r="B363" s="93" t="s">
        <v>570</v>
      </c>
      <c r="C363" s="94" t="s">
        <v>558</v>
      </c>
      <c r="D363" s="95">
        <v>7.4880000000000004</v>
      </c>
      <c r="E363" s="96">
        <v>4.7</v>
      </c>
      <c r="F363" s="97">
        <f>D363*E363</f>
        <v>35.193600000000004</v>
      </c>
      <c r="G363" s="97">
        <f>D363</f>
        <v>7.4880000000000004</v>
      </c>
      <c r="H363" s="98"/>
      <c r="I363" s="99"/>
      <c r="J363" s="99">
        <f>D364</f>
        <v>4.7320000000000002</v>
      </c>
      <c r="K363" s="99">
        <f>D365</f>
        <v>21.21</v>
      </c>
      <c r="L363" s="99">
        <f>D366</f>
        <v>6.008</v>
      </c>
      <c r="M363" s="99"/>
      <c r="N363" s="100"/>
      <c r="O363" s="100">
        <f>D367</f>
        <v>7.3650000000000002</v>
      </c>
      <c r="P363" s="99">
        <f>E363</f>
        <v>4.7</v>
      </c>
      <c r="Q363" s="99"/>
      <c r="R363" s="99"/>
      <c r="S363" s="99">
        <f>E364</f>
        <v>3.9</v>
      </c>
      <c r="T363" s="99">
        <f>E365</f>
        <v>3.1</v>
      </c>
      <c r="U363" s="99">
        <f>E366</f>
        <v>3.9</v>
      </c>
      <c r="V363" s="99"/>
      <c r="W363" s="100"/>
      <c r="X363" s="100">
        <f>E367</f>
        <v>4.7</v>
      </c>
      <c r="Y363" s="99"/>
      <c r="Z363" s="99"/>
      <c r="AA363" s="99">
        <f>J363*S363+L363*U363</f>
        <v>41.885999999999996</v>
      </c>
      <c r="AB363" s="99">
        <f>K363*T363</f>
        <v>65.751000000000005</v>
      </c>
      <c r="AC363" s="100">
        <f>O363*X363+G363*P363</f>
        <v>69.809100000000001</v>
      </c>
      <c r="AD363" s="99">
        <f>Y363+Z363+AA363+AB363+AC363</f>
        <v>177.4461</v>
      </c>
      <c r="AE363" s="99">
        <f>AD363-AC363</f>
        <v>107.637</v>
      </c>
    </row>
    <row r="364" spans="1:31" x14ac:dyDescent="0.35">
      <c r="B364" s="101"/>
      <c r="C364" s="102" t="s">
        <v>526</v>
      </c>
      <c r="D364" s="98">
        <v>4.7320000000000002</v>
      </c>
      <c r="E364" s="99">
        <v>3.9</v>
      </c>
      <c r="F364" s="100">
        <f>D364*E364</f>
        <v>18.454799999999999</v>
      </c>
      <c r="G364" s="103"/>
      <c r="H364" s="104"/>
      <c r="I364" s="104"/>
      <c r="J364" s="104"/>
      <c r="K364" s="104"/>
      <c r="L364" s="104"/>
      <c r="M364" s="104"/>
      <c r="N364" s="104"/>
      <c r="O364" s="104"/>
      <c r="P364" s="101"/>
      <c r="Q364" s="104"/>
      <c r="R364" s="104"/>
      <c r="S364" s="104"/>
      <c r="T364" s="104"/>
      <c r="U364" s="104"/>
      <c r="V364" s="104"/>
      <c r="W364" s="104"/>
      <c r="X364" s="104"/>
      <c r="Y364" s="101"/>
      <c r="Z364" s="104"/>
      <c r="AA364" s="104"/>
      <c r="AB364" s="104"/>
      <c r="AC364" s="104"/>
      <c r="AD364" s="101"/>
      <c r="AE364" s="105"/>
    </row>
    <row r="365" spans="1:31" x14ac:dyDescent="0.35">
      <c r="B365" s="106"/>
      <c r="C365" s="102" t="s">
        <v>523</v>
      </c>
      <c r="D365" s="98">
        <v>21.21</v>
      </c>
      <c r="E365" s="99">
        <v>3.1</v>
      </c>
      <c r="F365" s="100">
        <f>D365*E365</f>
        <v>65.751000000000005</v>
      </c>
    </row>
    <row r="366" spans="1:31" x14ac:dyDescent="0.35">
      <c r="B366" s="106"/>
      <c r="C366" s="102" t="s">
        <v>537</v>
      </c>
      <c r="D366" s="98">
        <v>6.008</v>
      </c>
      <c r="E366" s="99">
        <v>3.9</v>
      </c>
      <c r="F366" s="100">
        <f>D366*E366</f>
        <v>23.4312</v>
      </c>
    </row>
    <row r="367" spans="1:31" x14ac:dyDescent="0.35">
      <c r="B367" s="106"/>
      <c r="C367" s="94" t="s">
        <v>558</v>
      </c>
      <c r="D367" s="98">
        <v>7.3650000000000002</v>
      </c>
      <c r="E367" s="99">
        <v>4.7</v>
      </c>
      <c r="F367" s="100">
        <f>D367*E367</f>
        <v>34.615500000000004</v>
      </c>
    </row>
    <row r="368" spans="1:31" x14ac:dyDescent="0.35">
      <c r="B368" s="106"/>
      <c r="C368" s="94" t="s">
        <v>491</v>
      </c>
      <c r="D368" s="95">
        <f>SUM(D363:D367)</f>
        <v>46.803000000000004</v>
      </c>
      <c r="E368" s="96"/>
      <c r="F368" s="97">
        <f>SUM(F363:F367)</f>
        <v>177.4461</v>
      </c>
      <c r="I368" s="109"/>
      <c r="J368" s="109"/>
      <c r="K368" s="109"/>
      <c r="L368" s="109"/>
      <c r="M368" s="109"/>
      <c r="N368" s="109"/>
      <c r="O368" s="109"/>
      <c r="P368" s="107"/>
      <c r="Q368" s="109"/>
      <c r="R368" s="109"/>
      <c r="S368" s="109"/>
      <c r="T368" s="109"/>
      <c r="U368" s="109"/>
      <c r="V368" s="109"/>
      <c r="W368" s="109"/>
      <c r="X368" s="109"/>
      <c r="Y368" s="107"/>
      <c r="Z368" s="109"/>
      <c r="AA368" s="109"/>
      <c r="AB368" s="109"/>
      <c r="AC368" s="109"/>
      <c r="AD368" s="107"/>
      <c r="AE368" s="110"/>
    </row>
    <row r="369" spans="1:31" x14ac:dyDescent="0.35">
      <c r="B369" s="93"/>
      <c r="C369" s="102" t="s">
        <v>492</v>
      </c>
      <c r="D369" s="98">
        <f>D368-D367</f>
        <v>39.438000000000002</v>
      </c>
      <c r="E369" s="99"/>
      <c r="F369" s="100">
        <f>F368-F367-F363</f>
        <v>107.637</v>
      </c>
      <c r="G369" s="97"/>
      <c r="H369" s="111"/>
      <c r="I369" s="111"/>
      <c r="J369" s="111"/>
      <c r="K369" s="111"/>
      <c r="L369" s="111"/>
      <c r="M369" s="111"/>
      <c r="N369" s="111"/>
      <c r="O369" s="111"/>
      <c r="P369" s="93"/>
      <c r="Q369" s="111"/>
      <c r="R369" s="111"/>
      <c r="S369" s="111"/>
      <c r="T369" s="111"/>
      <c r="U369" s="111"/>
      <c r="V369" s="111"/>
      <c r="W369" s="111"/>
      <c r="X369" s="111"/>
      <c r="Y369" s="93"/>
      <c r="Z369" s="111"/>
      <c r="AA369" s="111"/>
      <c r="AB369" s="111"/>
      <c r="AC369" s="111"/>
      <c r="AD369" s="93"/>
      <c r="AE369" s="112"/>
    </row>
    <row r="370" spans="1:31" x14ac:dyDescent="0.35">
      <c r="A370" s="22">
        <f>A363+1</f>
        <v>54</v>
      </c>
      <c r="B370" s="93" t="s">
        <v>571</v>
      </c>
      <c r="C370" s="94" t="s">
        <v>558</v>
      </c>
      <c r="D370" s="95">
        <v>7.4880000000000004</v>
      </c>
      <c r="E370" s="96">
        <v>4.7</v>
      </c>
      <c r="F370" s="97">
        <f>D370*E370</f>
        <v>35.193600000000004</v>
      </c>
      <c r="G370" s="97">
        <f>D370</f>
        <v>7.4880000000000004</v>
      </c>
      <c r="H370" s="98"/>
      <c r="I370" s="99"/>
      <c r="J370" s="99">
        <f>D371</f>
        <v>4.7320000000000002</v>
      </c>
      <c r="K370" s="99">
        <f>D372</f>
        <v>21.21</v>
      </c>
      <c r="L370" s="99">
        <f>D373</f>
        <v>4.7320000000000002</v>
      </c>
      <c r="M370" s="99"/>
      <c r="N370" s="100"/>
      <c r="O370" s="100">
        <f>D374</f>
        <v>7.4880000000000004</v>
      </c>
      <c r="P370" s="99">
        <f>E370</f>
        <v>4.7</v>
      </c>
      <c r="Q370" s="99"/>
      <c r="R370" s="99"/>
      <c r="S370" s="99">
        <f>E371</f>
        <v>3.9</v>
      </c>
      <c r="T370" s="99">
        <f>E372</f>
        <v>3.1</v>
      </c>
      <c r="U370" s="99">
        <f>E373</f>
        <v>3.9</v>
      </c>
      <c r="V370" s="99"/>
      <c r="W370" s="100"/>
      <c r="X370" s="100">
        <f>E374</f>
        <v>4.7</v>
      </c>
      <c r="Y370" s="99"/>
      <c r="Z370" s="99"/>
      <c r="AA370" s="99">
        <f>J370*S370+L370*U370</f>
        <v>36.909599999999998</v>
      </c>
      <c r="AB370" s="99">
        <f>K370*T370</f>
        <v>65.751000000000005</v>
      </c>
      <c r="AC370" s="100">
        <f>O370*X370+G370*P370</f>
        <v>70.387200000000007</v>
      </c>
      <c r="AD370" s="99">
        <f>Y370+Z370+AA370+AB370+AC370</f>
        <v>173.0478</v>
      </c>
      <c r="AE370" s="99">
        <f>AD370-AC370</f>
        <v>102.66059999999999</v>
      </c>
    </row>
    <row r="371" spans="1:31" x14ac:dyDescent="0.35">
      <c r="B371" s="101"/>
      <c r="C371" s="102" t="s">
        <v>526</v>
      </c>
      <c r="D371" s="98">
        <v>4.7320000000000002</v>
      </c>
      <c r="E371" s="99">
        <v>3.9</v>
      </c>
      <c r="F371" s="100">
        <f>D371*E371</f>
        <v>18.454799999999999</v>
      </c>
      <c r="G371" s="103"/>
      <c r="H371" s="104"/>
      <c r="I371" s="104"/>
      <c r="J371" s="104"/>
      <c r="K371" s="104"/>
      <c r="L371" s="104"/>
      <c r="M371" s="104"/>
      <c r="N371" s="104"/>
      <c r="O371" s="104"/>
      <c r="P371" s="101"/>
      <c r="Q371" s="104"/>
      <c r="R371" s="104"/>
      <c r="S371" s="104"/>
      <c r="T371" s="104"/>
      <c r="U371" s="104"/>
      <c r="V371" s="104"/>
      <c r="W371" s="104"/>
      <c r="X371" s="104"/>
      <c r="Y371" s="101"/>
      <c r="Z371" s="104"/>
      <c r="AA371" s="104"/>
      <c r="AB371" s="104"/>
      <c r="AC371" s="104"/>
      <c r="AD371" s="101"/>
      <c r="AE371" s="105"/>
    </row>
    <row r="372" spans="1:31" x14ac:dyDescent="0.35">
      <c r="B372" s="106"/>
      <c r="C372" s="102" t="s">
        <v>523</v>
      </c>
      <c r="D372" s="98">
        <v>21.21</v>
      </c>
      <c r="E372" s="99">
        <v>3.1</v>
      </c>
      <c r="F372" s="100">
        <f>D372*E372</f>
        <v>65.751000000000005</v>
      </c>
    </row>
    <row r="373" spans="1:31" x14ac:dyDescent="0.35">
      <c r="B373" s="106"/>
      <c r="C373" s="102" t="s">
        <v>526</v>
      </c>
      <c r="D373" s="98">
        <v>4.7320000000000002</v>
      </c>
      <c r="E373" s="99">
        <v>3.9</v>
      </c>
      <c r="F373" s="100">
        <f>D373*E373</f>
        <v>18.454799999999999</v>
      </c>
    </row>
    <row r="374" spans="1:31" x14ac:dyDescent="0.35">
      <c r="B374" s="106"/>
      <c r="C374" s="94" t="s">
        <v>558</v>
      </c>
      <c r="D374" s="95">
        <v>7.4880000000000004</v>
      </c>
      <c r="E374" s="96">
        <v>4.7</v>
      </c>
      <c r="F374" s="97">
        <f>D374*E374</f>
        <v>35.193600000000004</v>
      </c>
    </row>
    <row r="375" spans="1:31" x14ac:dyDescent="0.35">
      <c r="B375" s="106"/>
      <c r="C375" s="94" t="s">
        <v>491</v>
      </c>
      <c r="D375" s="95">
        <f>SUM(D370:D374)</f>
        <v>45.65</v>
      </c>
      <c r="E375" s="96"/>
      <c r="F375" s="97">
        <f>SUM(F370:F374)</f>
        <v>173.04780000000002</v>
      </c>
      <c r="I375" s="109"/>
      <c r="J375" s="109"/>
      <c r="K375" s="109"/>
      <c r="L375" s="109"/>
      <c r="M375" s="109"/>
      <c r="N375" s="109"/>
      <c r="O375" s="109"/>
      <c r="P375" s="107"/>
      <c r="Q375" s="109"/>
      <c r="R375" s="109"/>
      <c r="S375" s="109"/>
      <c r="T375" s="109"/>
      <c r="U375" s="109"/>
      <c r="V375" s="109"/>
      <c r="W375" s="109"/>
      <c r="X375" s="109"/>
      <c r="Y375" s="107"/>
      <c r="Z375" s="109"/>
      <c r="AA375" s="109"/>
      <c r="AB375" s="109"/>
      <c r="AC375" s="109"/>
      <c r="AD375" s="107"/>
      <c r="AE375" s="110"/>
    </row>
    <row r="376" spans="1:31" x14ac:dyDescent="0.35">
      <c r="B376" s="93"/>
      <c r="C376" s="102" t="s">
        <v>492</v>
      </c>
      <c r="D376" s="98">
        <f>D375-D374</f>
        <v>38.161999999999999</v>
      </c>
      <c r="E376" s="99"/>
      <c r="F376" s="100">
        <f>F375-F374-F370</f>
        <v>102.66060000000002</v>
      </c>
      <c r="G376" s="97"/>
      <c r="H376" s="111"/>
      <c r="I376" s="111"/>
      <c r="J376" s="111"/>
      <c r="K376" s="111"/>
      <c r="L376" s="111"/>
      <c r="M376" s="111"/>
      <c r="N376" s="111"/>
      <c r="O376" s="111"/>
      <c r="P376" s="93"/>
      <c r="Q376" s="111"/>
      <c r="R376" s="111"/>
      <c r="S376" s="111"/>
      <c r="T376" s="111"/>
      <c r="U376" s="111"/>
      <c r="V376" s="111"/>
      <c r="W376" s="111"/>
      <c r="X376" s="111"/>
      <c r="Y376" s="93"/>
      <c r="Z376" s="111"/>
      <c r="AA376" s="111"/>
      <c r="AB376" s="111"/>
      <c r="AC376" s="111"/>
      <c r="AD376" s="93"/>
      <c r="AE376" s="112"/>
    </row>
    <row r="377" spans="1:31" x14ac:dyDescent="0.35">
      <c r="A377" s="22">
        <f>A370+1</f>
        <v>55</v>
      </c>
      <c r="B377" s="93" t="s">
        <v>572</v>
      </c>
      <c r="C377" s="94" t="s">
        <v>558</v>
      </c>
      <c r="D377" s="95">
        <v>7.3650000000000002</v>
      </c>
      <c r="E377" s="96">
        <v>4.7</v>
      </c>
      <c r="F377" s="97">
        <f>D377*E377</f>
        <v>34.615500000000004</v>
      </c>
      <c r="G377" s="97">
        <f>D377</f>
        <v>7.3650000000000002</v>
      </c>
      <c r="H377" s="98"/>
      <c r="I377" s="99"/>
      <c r="J377" s="99">
        <f>D378</f>
        <v>6.008</v>
      </c>
      <c r="K377" s="99">
        <f>D379</f>
        <v>21.21</v>
      </c>
      <c r="L377" s="99">
        <f>D380</f>
        <v>6.008</v>
      </c>
      <c r="M377" s="99"/>
      <c r="N377" s="100"/>
      <c r="O377" s="100">
        <f>D381</f>
        <v>7.3650000000000002</v>
      </c>
      <c r="P377" s="99">
        <f>E377</f>
        <v>4.7</v>
      </c>
      <c r="Q377" s="99"/>
      <c r="R377" s="99"/>
      <c r="S377" s="99">
        <f>E378</f>
        <v>3.9</v>
      </c>
      <c r="T377" s="99">
        <f>E379</f>
        <v>3.4</v>
      </c>
      <c r="U377" s="99">
        <f>E380</f>
        <v>3.9</v>
      </c>
      <c r="V377" s="99"/>
      <c r="W377" s="100"/>
      <c r="X377" s="100">
        <f>E381</f>
        <v>4.7</v>
      </c>
      <c r="Y377" s="99"/>
      <c r="Z377" s="99"/>
      <c r="AA377" s="99">
        <f>J377*S377+L377*U377</f>
        <v>46.862400000000001</v>
      </c>
      <c r="AB377" s="99">
        <f>K377*T377</f>
        <v>72.114000000000004</v>
      </c>
      <c r="AC377" s="100">
        <f>O377*X377+G377*P377</f>
        <v>69.231000000000009</v>
      </c>
      <c r="AD377" s="99">
        <f>Y377+Z377+AA377+AB377+AC377</f>
        <v>188.20740000000001</v>
      </c>
      <c r="AE377" s="99">
        <f>AD377-AC377</f>
        <v>118.9764</v>
      </c>
    </row>
    <row r="378" spans="1:31" x14ac:dyDescent="0.35">
      <c r="B378" s="101"/>
      <c r="C378" s="102" t="s">
        <v>559</v>
      </c>
      <c r="D378" s="98">
        <v>6.008</v>
      </c>
      <c r="E378" s="99">
        <v>3.9</v>
      </c>
      <c r="F378" s="100">
        <f>D378*E378</f>
        <v>23.4312</v>
      </c>
      <c r="G378" s="103"/>
      <c r="H378" s="104"/>
      <c r="I378" s="104"/>
      <c r="J378" s="104"/>
      <c r="K378" s="104"/>
      <c r="L378" s="104"/>
      <c r="M378" s="104"/>
      <c r="N378" s="104"/>
      <c r="O378" s="104"/>
      <c r="P378" s="101"/>
      <c r="Q378" s="104"/>
      <c r="R378" s="104"/>
      <c r="S378" s="104"/>
      <c r="T378" s="104"/>
      <c r="U378" s="104"/>
      <c r="V378" s="104"/>
      <c r="W378" s="104"/>
      <c r="X378" s="104"/>
      <c r="Y378" s="101"/>
      <c r="Z378" s="104"/>
      <c r="AA378" s="104"/>
      <c r="AB378" s="104"/>
      <c r="AC378" s="104"/>
      <c r="AD378" s="101"/>
      <c r="AE378" s="105"/>
    </row>
    <row r="379" spans="1:31" x14ac:dyDescent="0.35">
      <c r="B379" s="106"/>
      <c r="C379" s="102" t="s">
        <v>523</v>
      </c>
      <c r="D379" s="98">
        <v>21.21</v>
      </c>
      <c r="E379" s="99">
        <v>3.4</v>
      </c>
      <c r="F379" s="100">
        <f>D379*E379</f>
        <v>72.114000000000004</v>
      </c>
    </row>
    <row r="380" spans="1:31" x14ac:dyDescent="0.35">
      <c r="B380" s="106"/>
      <c r="C380" s="102" t="s">
        <v>559</v>
      </c>
      <c r="D380" s="98">
        <v>6.008</v>
      </c>
      <c r="E380" s="99">
        <v>3.9</v>
      </c>
      <c r="F380" s="100">
        <f>D380*E380</f>
        <v>23.4312</v>
      </c>
    </row>
    <row r="381" spans="1:31" x14ac:dyDescent="0.35">
      <c r="B381" s="106"/>
      <c r="C381" s="94" t="s">
        <v>558</v>
      </c>
      <c r="D381" s="95">
        <v>7.3650000000000002</v>
      </c>
      <c r="E381" s="96">
        <v>4.7</v>
      </c>
      <c r="F381" s="97">
        <f>D381*E381</f>
        <v>34.615500000000004</v>
      </c>
    </row>
    <row r="382" spans="1:31" x14ac:dyDescent="0.35">
      <c r="B382" s="106"/>
      <c r="C382" s="94" t="s">
        <v>491</v>
      </c>
      <c r="D382" s="95">
        <f>SUM(D377:D381)</f>
        <v>47.956000000000003</v>
      </c>
      <c r="E382" s="96"/>
      <c r="F382" s="97">
        <f>SUM(F377:F381)</f>
        <v>188.20740000000001</v>
      </c>
      <c r="I382" s="109"/>
      <c r="J382" s="109"/>
      <c r="K382" s="109"/>
      <c r="L382" s="109"/>
      <c r="M382" s="109"/>
      <c r="N382" s="109"/>
      <c r="O382" s="109"/>
      <c r="P382" s="107"/>
      <c r="Q382" s="109"/>
      <c r="R382" s="109"/>
      <c r="S382" s="109"/>
      <c r="T382" s="109"/>
      <c r="U382" s="109"/>
      <c r="V382" s="109"/>
      <c r="W382" s="109"/>
      <c r="X382" s="109"/>
      <c r="Y382" s="107"/>
      <c r="Z382" s="109"/>
      <c r="AA382" s="109"/>
      <c r="AB382" s="109"/>
      <c r="AC382" s="109"/>
      <c r="AD382" s="107"/>
      <c r="AE382" s="110"/>
    </row>
    <row r="383" spans="1:31" x14ac:dyDescent="0.35">
      <c r="B383" s="93"/>
      <c r="C383" s="102" t="s">
        <v>492</v>
      </c>
      <c r="D383" s="98">
        <f>D382-D381</f>
        <v>40.591000000000001</v>
      </c>
      <c r="E383" s="99"/>
      <c r="F383" s="100">
        <f>F382-F381-F377</f>
        <v>118.97640000000001</v>
      </c>
      <c r="G383" s="97"/>
      <c r="H383" s="111"/>
      <c r="I383" s="111"/>
      <c r="J383" s="111"/>
      <c r="K383" s="111"/>
      <c r="L383" s="111"/>
      <c r="M383" s="111"/>
      <c r="N383" s="111"/>
      <c r="O383" s="111"/>
      <c r="P383" s="93"/>
      <c r="Q383" s="111"/>
      <c r="R383" s="111"/>
      <c r="S383" s="111"/>
      <c r="T383" s="111"/>
      <c r="U383" s="111"/>
      <c r="V383" s="111"/>
      <c r="W383" s="111"/>
      <c r="X383" s="111"/>
      <c r="Y383" s="93"/>
      <c r="Z383" s="111"/>
      <c r="AA383" s="111"/>
      <c r="AB383" s="111"/>
      <c r="AC383" s="111"/>
      <c r="AD383" s="93"/>
      <c r="AE383" s="112"/>
    </row>
    <row r="384" spans="1:31" x14ac:dyDescent="0.35">
      <c r="A384" s="22">
        <f>A377+1</f>
        <v>56</v>
      </c>
      <c r="B384" s="93" t="s">
        <v>573</v>
      </c>
      <c r="C384" s="94" t="s">
        <v>558</v>
      </c>
      <c r="D384" s="95">
        <v>7.4880000000000004</v>
      </c>
      <c r="E384" s="96">
        <v>4.7</v>
      </c>
      <c r="F384" s="97">
        <f>D384*E384</f>
        <v>35.193600000000004</v>
      </c>
      <c r="G384" s="97">
        <f>D384</f>
        <v>7.4880000000000004</v>
      </c>
      <c r="H384" s="98"/>
      <c r="I384" s="99"/>
      <c r="J384" s="99">
        <f>D385</f>
        <v>4.7320000000000002</v>
      </c>
      <c r="K384" s="99">
        <f>D386</f>
        <v>21.21</v>
      </c>
      <c r="L384" s="99">
        <f>D387</f>
        <v>6.008</v>
      </c>
      <c r="M384" s="99"/>
      <c r="N384" s="100"/>
      <c r="O384" s="100">
        <f>D388</f>
        <v>6.7650000000000006</v>
      </c>
      <c r="P384" s="99">
        <f>E384</f>
        <v>4.7</v>
      </c>
      <c r="Q384" s="99"/>
      <c r="R384" s="99"/>
      <c r="S384" s="99">
        <f>E385</f>
        <v>3.9</v>
      </c>
      <c r="T384" s="99">
        <f>E386</f>
        <v>3.4</v>
      </c>
      <c r="U384" s="99">
        <f>E387</f>
        <v>3.9</v>
      </c>
      <c r="V384" s="99"/>
      <c r="W384" s="100"/>
      <c r="X384" s="100">
        <f>E388</f>
        <v>4.7</v>
      </c>
      <c r="Y384" s="99"/>
      <c r="Z384" s="99"/>
      <c r="AA384" s="99">
        <f>J384*S384+L384*U384</f>
        <v>41.885999999999996</v>
      </c>
      <c r="AB384" s="99">
        <f>K384*T384</f>
        <v>72.114000000000004</v>
      </c>
      <c r="AC384" s="100">
        <f>O384*X384+G384*P384</f>
        <v>66.989100000000008</v>
      </c>
      <c r="AD384" s="99">
        <f>Y384+Z384+AA384+AB384+AC384</f>
        <v>180.98910000000001</v>
      </c>
      <c r="AE384" s="99">
        <f>AD384-AC384</f>
        <v>114</v>
      </c>
    </row>
    <row r="385" spans="1:31" x14ac:dyDescent="0.35">
      <c r="B385" s="101"/>
      <c r="C385" s="102" t="s">
        <v>574</v>
      </c>
      <c r="D385" s="98">
        <v>4.7320000000000002</v>
      </c>
      <c r="E385" s="99">
        <v>3.9</v>
      </c>
      <c r="F385" s="100">
        <f>D385*E385</f>
        <v>18.454799999999999</v>
      </c>
      <c r="G385" s="103"/>
      <c r="H385" s="104"/>
      <c r="I385" s="104"/>
      <c r="J385" s="104"/>
      <c r="K385" s="104"/>
      <c r="L385" s="104"/>
      <c r="M385" s="104"/>
      <c r="N385" s="104"/>
      <c r="O385" s="104"/>
      <c r="P385" s="101"/>
      <c r="Q385" s="104"/>
      <c r="R385" s="104"/>
      <c r="S385" s="104"/>
      <c r="T385" s="104"/>
      <c r="U385" s="104"/>
      <c r="V385" s="104"/>
      <c r="W385" s="104"/>
      <c r="X385" s="104"/>
      <c r="Y385" s="101"/>
      <c r="Z385" s="104"/>
      <c r="AA385" s="104"/>
      <c r="AB385" s="104"/>
      <c r="AC385" s="104"/>
      <c r="AD385" s="101"/>
      <c r="AE385" s="105"/>
    </row>
    <row r="386" spans="1:31" x14ac:dyDescent="0.35">
      <c r="B386" s="106"/>
      <c r="C386" s="102" t="s">
        <v>523</v>
      </c>
      <c r="D386" s="98">
        <v>21.21</v>
      </c>
      <c r="E386" s="99">
        <v>3.4</v>
      </c>
      <c r="F386" s="100">
        <f>D386*E386</f>
        <v>72.114000000000004</v>
      </c>
    </row>
    <row r="387" spans="1:31" x14ac:dyDescent="0.35">
      <c r="B387" s="106"/>
      <c r="C387" s="102" t="s">
        <v>527</v>
      </c>
      <c r="D387" s="98">
        <v>6.008</v>
      </c>
      <c r="E387" s="99">
        <v>3.9</v>
      </c>
      <c r="F387" s="100">
        <f>D387*E387</f>
        <v>23.4312</v>
      </c>
    </row>
    <row r="388" spans="1:31" x14ac:dyDescent="0.35">
      <c r="B388" s="106"/>
      <c r="C388" s="94" t="s">
        <v>558</v>
      </c>
      <c r="D388" s="98">
        <v>6.7650000000000006</v>
      </c>
      <c r="E388" s="99">
        <v>4.7</v>
      </c>
      <c r="F388" s="100">
        <f>D388*E388</f>
        <v>31.795500000000004</v>
      </c>
    </row>
    <row r="389" spans="1:31" x14ac:dyDescent="0.35">
      <c r="B389" s="106"/>
      <c r="C389" s="94" t="s">
        <v>491</v>
      </c>
      <c r="D389" s="95">
        <f>SUM(D384:D388)</f>
        <v>46.203000000000003</v>
      </c>
      <c r="E389" s="96"/>
      <c r="F389" s="97">
        <f>SUM(F384:F388)</f>
        <v>180.98910000000001</v>
      </c>
      <c r="I389" s="109"/>
      <c r="J389" s="109"/>
      <c r="K389" s="109"/>
      <c r="L389" s="109"/>
      <c r="M389" s="109"/>
      <c r="N389" s="109"/>
      <c r="O389" s="109"/>
      <c r="P389" s="107"/>
      <c r="Q389" s="109"/>
      <c r="R389" s="109"/>
      <c r="S389" s="109"/>
      <c r="T389" s="109"/>
      <c r="U389" s="109"/>
      <c r="V389" s="109"/>
      <c r="W389" s="109"/>
      <c r="X389" s="109"/>
      <c r="Y389" s="107"/>
      <c r="Z389" s="109"/>
      <c r="AA389" s="109"/>
      <c r="AB389" s="109"/>
      <c r="AC389" s="109"/>
      <c r="AD389" s="107"/>
      <c r="AE389" s="110"/>
    </row>
    <row r="390" spans="1:31" x14ac:dyDescent="0.35">
      <c r="B390" s="93"/>
      <c r="C390" s="102" t="s">
        <v>492</v>
      </c>
      <c r="D390" s="98">
        <f>D389-D388</f>
        <v>39.438000000000002</v>
      </c>
      <c r="E390" s="99"/>
      <c r="F390" s="100">
        <f>F389-F388-F384</f>
        <v>114</v>
      </c>
      <c r="G390" s="97"/>
      <c r="H390" s="111"/>
      <c r="I390" s="111"/>
      <c r="J390" s="111"/>
      <c r="K390" s="111"/>
      <c r="L390" s="111"/>
      <c r="M390" s="111"/>
      <c r="N390" s="111"/>
      <c r="O390" s="111"/>
      <c r="P390" s="93"/>
      <c r="Q390" s="111"/>
      <c r="R390" s="111"/>
      <c r="S390" s="111"/>
      <c r="T390" s="111"/>
      <c r="U390" s="111"/>
      <c r="V390" s="111"/>
      <c r="W390" s="111"/>
      <c r="X390" s="111"/>
      <c r="Y390" s="93"/>
      <c r="Z390" s="111"/>
      <c r="AA390" s="111"/>
      <c r="AB390" s="111"/>
      <c r="AC390" s="111"/>
      <c r="AD390" s="93"/>
      <c r="AE390" s="112"/>
    </row>
    <row r="391" spans="1:31" x14ac:dyDescent="0.35">
      <c r="A391" s="22">
        <f>A384+1</f>
        <v>57</v>
      </c>
      <c r="B391" s="93" t="s">
        <v>575</v>
      </c>
      <c r="C391" s="94" t="s">
        <v>558</v>
      </c>
      <c r="D391" s="95">
        <v>7.4880000000000004</v>
      </c>
      <c r="E391" s="96">
        <v>4.7</v>
      </c>
      <c r="F391" s="97">
        <f>D391*E391</f>
        <v>35.193600000000004</v>
      </c>
      <c r="G391" s="97">
        <f>D391</f>
        <v>7.4880000000000004</v>
      </c>
      <c r="H391" s="98"/>
      <c r="I391" s="99"/>
      <c r="J391" s="99">
        <f>D392</f>
        <v>4.7320000000000002</v>
      </c>
      <c r="K391" s="99">
        <f>D393</f>
        <v>21.21</v>
      </c>
      <c r="L391" s="99">
        <f>D394</f>
        <v>4.7320000000000002</v>
      </c>
      <c r="M391" s="99"/>
      <c r="N391" s="100"/>
      <c r="O391" s="100">
        <f>D395</f>
        <v>7.4880000000000004</v>
      </c>
      <c r="P391" s="99">
        <f>E391</f>
        <v>4.7</v>
      </c>
      <c r="Q391" s="99"/>
      <c r="R391" s="99"/>
      <c r="S391" s="99">
        <f>E392</f>
        <v>3.9</v>
      </c>
      <c r="T391" s="99">
        <f>E393</f>
        <v>3.4</v>
      </c>
      <c r="U391" s="99">
        <f>E394</f>
        <v>3.9</v>
      </c>
      <c r="V391" s="99"/>
      <c r="W391" s="100"/>
      <c r="X391" s="100">
        <f>E395</f>
        <v>4.7</v>
      </c>
      <c r="Y391" s="99"/>
      <c r="Z391" s="99"/>
      <c r="AA391" s="99">
        <f>J391*S391+L391*U391</f>
        <v>36.909599999999998</v>
      </c>
      <c r="AB391" s="99">
        <f>K391*T391</f>
        <v>72.114000000000004</v>
      </c>
      <c r="AC391" s="100">
        <f>O391*X391+G391*P391</f>
        <v>70.387200000000007</v>
      </c>
      <c r="AD391" s="99">
        <f>Y391+Z391+AA391+AB391+AC391</f>
        <v>179.41079999999999</v>
      </c>
      <c r="AE391" s="99">
        <f>AD391-AC391</f>
        <v>109.02359999999999</v>
      </c>
    </row>
    <row r="392" spans="1:31" x14ac:dyDescent="0.35">
      <c r="B392" s="101"/>
      <c r="C392" s="102" t="s">
        <v>574</v>
      </c>
      <c r="D392" s="98">
        <v>4.7320000000000002</v>
      </c>
      <c r="E392" s="99">
        <v>3.9</v>
      </c>
      <c r="F392" s="100">
        <f>D392*E392</f>
        <v>18.454799999999999</v>
      </c>
      <c r="G392" s="103"/>
      <c r="H392" s="104"/>
      <c r="I392" s="104"/>
      <c r="J392" s="104"/>
      <c r="K392" s="104"/>
      <c r="L392" s="104"/>
      <c r="M392" s="104"/>
      <c r="N392" s="104"/>
      <c r="O392" s="104"/>
      <c r="P392" s="101"/>
      <c r="Q392" s="104"/>
      <c r="R392" s="104"/>
      <c r="S392" s="104"/>
      <c r="T392" s="104"/>
      <c r="U392" s="104"/>
      <c r="V392" s="104"/>
      <c r="W392" s="104"/>
      <c r="X392" s="104"/>
      <c r="Y392" s="101"/>
      <c r="Z392" s="104"/>
      <c r="AA392" s="104"/>
      <c r="AB392" s="104"/>
      <c r="AC392" s="104"/>
      <c r="AD392" s="101"/>
      <c r="AE392" s="105"/>
    </row>
    <row r="393" spans="1:31" x14ac:dyDescent="0.35">
      <c r="B393" s="106"/>
      <c r="C393" s="102" t="s">
        <v>523</v>
      </c>
      <c r="D393" s="98">
        <v>21.21</v>
      </c>
      <c r="E393" s="99">
        <v>3.4</v>
      </c>
      <c r="F393" s="100">
        <f>D393*E393</f>
        <v>72.114000000000004</v>
      </c>
    </row>
    <row r="394" spans="1:31" x14ac:dyDescent="0.35">
      <c r="B394" s="106"/>
      <c r="C394" s="102" t="s">
        <v>574</v>
      </c>
      <c r="D394" s="98">
        <v>4.7320000000000002</v>
      </c>
      <c r="E394" s="99">
        <v>3.9</v>
      </c>
      <c r="F394" s="100">
        <f>D394*E394</f>
        <v>18.454799999999999</v>
      </c>
    </row>
    <row r="395" spans="1:31" x14ac:dyDescent="0.35">
      <c r="B395" s="106"/>
      <c r="C395" s="94" t="s">
        <v>558</v>
      </c>
      <c r="D395" s="95">
        <v>7.4880000000000004</v>
      </c>
      <c r="E395" s="96">
        <v>4.7</v>
      </c>
      <c r="F395" s="97">
        <f>D395*E395</f>
        <v>35.193600000000004</v>
      </c>
    </row>
    <row r="396" spans="1:31" x14ac:dyDescent="0.35">
      <c r="B396" s="106"/>
      <c r="C396" s="94" t="s">
        <v>491</v>
      </c>
      <c r="D396" s="95">
        <f>SUM(D391:D395)</f>
        <v>45.65</v>
      </c>
      <c r="E396" s="96"/>
      <c r="F396" s="97">
        <f>SUM(F391:F395)</f>
        <v>179.41080000000002</v>
      </c>
      <c r="I396" s="109"/>
      <c r="J396" s="109"/>
      <c r="K396" s="109"/>
      <c r="L396" s="109"/>
      <c r="M396" s="109"/>
      <c r="N396" s="109"/>
      <c r="O396" s="109"/>
      <c r="P396" s="107"/>
      <c r="Q396" s="109"/>
      <c r="R396" s="109"/>
      <c r="S396" s="109"/>
      <c r="T396" s="109"/>
      <c r="U396" s="109"/>
      <c r="V396" s="109"/>
      <c r="W396" s="109"/>
      <c r="X396" s="109"/>
      <c r="Y396" s="107"/>
      <c r="Z396" s="109"/>
      <c r="AA396" s="109"/>
      <c r="AB396" s="109"/>
      <c r="AC396" s="109"/>
      <c r="AD396" s="107"/>
      <c r="AE396" s="110"/>
    </row>
    <row r="397" spans="1:31" x14ac:dyDescent="0.35">
      <c r="B397" s="93"/>
      <c r="C397" s="102" t="s">
        <v>492</v>
      </c>
      <c r="D397" s="98">
        <f>D396-D395</f>
        <v>38.161999999999999</v>
      </c>
      <c r="E397" s="99"/>
      <c r="F397" s="100">
        <f>F396-F395-F391</f>
        <v>109.02360000000002</v>
      </c>
      <c r="G397" s="97"/>
      <c r="H397" s="111"/>
      <c r="I397" s="111"/>
      <c r="J397" s="111"/>
      <c r="K397" s="111"/>
      <c r="L397" s="111"/>
      <c r="M397" s="111"/>
      <c r="N397" s="111"/>
      <c r="O397" s="111"/>
      <c r="P397" s="93"/>
      <c r="Q397" s="111"/>
      <c r="R397" s="111"/>
      <c r="S397" s="111"/>
      <c r="T397" s="111"/>
      <c r="U397" s="111"/>
      <c r="V397" s="111"/>
      <c r="W397" s="111"/>
      <c r="X397" s="111"/>
      <c r="Y397" s="93"/>
      <c r="Z397" s="111"/>
      <c r="AA397" s="111"/>
      <c r="AB397" s="111"/>
      <c r="AC397" s="111"/>
      <c r="AD397" s="93"/>
      <c r="AE397" s="112"/>
    </row>
    <row r="398" spans="1:31" x14ac:dyDescent="0.35">
      <c r="A398" s="22">
        <f>A391+1</f>
        <v>58</v>
      </c>
      <c r="B398" s="93" t="s">
        <v>576</v>
      </c>
      <c r="C398" s="94" t="s">
        <v>13</v>
      </c>
      <c r="D398" s="95">
        <v>1.8</v>
      </c>
      <c r="E398" s="96">
        <v>2.6</v>
      </c>
      <c r="F398" s="97">
        <f t="shared" ref="F398:F404" si="10">D398*E398</f>
        <v>4.6800000000000006</v>
      </c>
      <c r="G398" s="97">
        <f>D398</f>
        <v>1.8</v>
      </c>
      <c r="H398" s="98">
        <f>D399</f>
        <v>11.077999999999999</v>
      </c>
      <c r="I398" s="99"/>
      <c r="J398" s="99">
        <f>D400</f>
        <v>9.5779999999999994</v>
      </c>
      <c r="K398" s="99">
        <f>D401</f>
        <v>13.922000000000001</v>
      </c>
      <c r="L398" s="99">
        <f>D402</f>
        <v>9.5779999999999994</v>
      </c>
      <c r="M398" s="99"/>
      <c r="N398" s="100">
        <f>D403</f>
        <v>11.077999999999999</v>
      </c>
      <c r="O398" s="100">
        <f>D404</f>
        <v>1.8</v>
      </c>
      <c r="P398" s="99">
        <f>E398</f>
        <v>2.6</v>
      </c>
      <c r="Q398" s="99">
        <f>E399</f>
        <v>4.34</v>
      </c>
      <c r="R398" s="99"/>
      <c r="S398" s="99">
        <f>E400</f>
        <v>4.1500000000000004</v>
      </c>
      <c r="T398" s="99">
        <f>E401</f>
        <v>3.5</v>
      </c>
      <c r="U398" s="99">
        <f>E402</f>
        <v>4.1500000000000004</v>
      </c>
      <c r="V398" s="99"/>
      <c r="W398" s="100">
        <f>E403</f>
        <v>4.34</v>
      </c>
      <c r="X398" s="100">
        <f>E404</f>
        <v>2.6</v>
      </c>
      <c r="Y398" s="99">
        <f>H398*Q398+N398*W398</f>
        <v>96.157039999999995</v>
      </c>
      <c r="Z398" s="99"/>
      <c r="AA398" s="99">
        <f>J398*S398+L398*U398</f>
        <v>79.497399999999999</v>
      </c>
      <c r="AB398" s="99">
        <f>K398*T398</f>
        <v>48.727000000000004</v>
      </c>
      <c r="AC398" s="100">
        <f>O398*X398+G398*P398</f>
        <v>9.3600000000000012</v>
      </c>
      <c r="AD398" s="99">
        <f>Y398+Z398+AA398+AB398+AC398</f>
        <v>233.74144000000001</v>
      </c>
      <c r="AE398" s="99">
        <f>AD398-AC398</f>
        <v>224.38144</v>
      </c>
    </row>
    <row r="399" spans="1:31" x14ac:dyDescent="0.35">
      <c r="B399" s="101"/>
      <c r="C399" s="113" t="s">
        <v>533</v>
      </c>
      <c r="D399" s="98">
        <v>11.077999999999999</v>
      </c>
      <c r="E399" s="99">
        <v>4.34</v>
      </c>
      <c r="F399" s="100">
        <f t="shared" si="10"/>
        <v>48.078519999999997</v>
      </c>
      <c r="G399" s="103"/>
      <c r="H399" s="104"/>
      <c r="I399" s="104"/>
      <c r="J399" s="104"/>
      <c r="K399" s="104"/>
      <c r="L399" s="104"/>
      <c r="M399" s="104"/>
      <c r="N399" s="104"/>
      <c r="O399" s="104"/>
      <c r="P399" s="101"/>
      <c r="Q399" s="104"/>
      <c r="R399" s="104"/>
      <c r="S399" s="104"/>
      <c r="T399" s="104"/>
      <c r="U399" s="104"/>
      <c r="V399" s="104"/>
      <c r="W399" s="104"/>
      <c r="X399" s="104"/>
      <c r="Y399" s="101"/>
      <c r="Z399" s="104"/>
      <c r="AA399" s="104"/>
      <c r="AB399" s="104"/>
      <c r="AC399" s="104"/>
      <c r="AD399" s="101"/>
      <c r="AE399" s="105"/>
    </row>
    <row r="400" spans="1:31" x14ac:dyDescent="0.35">
      <c r="B400" s="106"/>
      <c r="C400" s="102" t="s">
        <v>534</v>
      </c>
      <c r="D400" s="98">
        <v>9.5779999999999994</v>
      </c>
      <c r="E400" s="99">
        <v>4.1500000000000004</v>
      </c>
      <c r="F400" s="100">
        <f t="shared" si="10"/>
        <v>39.748699999999999</v>
      </c>
    </row>
    <row r="401" spans="1:31" x14ac:dyDescent="0.35">
      <c r="B401" s="106"/>
      <c r="C401" s="113" t="s">
        <v>523</v>
      </c>
      <c r="D401" s="98">
        <v>13.922000000000001</v>
      </c>
      <c r="E401" s="99">
        <v>3.5</v>
      </c>
      <c r="F401" s="100">
        <f t="shared" si="10"/>
        <v>48.727000000000004</v>
      </c>
    </row>
    <row r="402" spans="1:31" x14ac:dyDescent="0.35">
      <c r="B402" s="106"/>
      <c r="C402" s="102" t="s">
        <v>534</v>
      </c>
      <c r="D402" s="98">
        <v>9.5779999999999994</v>
      </c>
      <c r="E402" s="99">
        <v>4.1500000000000004</v>
      </c>
      <c r="F402" s="100">
        <f t="shared" si="10"/>
        <v>39.748699999999999</v>
      </c>
    </row>
    <row r="403" spans="1:31" x14ac:dyDescent="0.35">
      <c r="B403" s="106"/>
      <c r="C403" s="113" t="s">
        <v>533</v>
      </c>
      <c r="D403" s="98">
        <v>11.077999999999999</v>
      </c>
      <c r="E403" s="99">
        <v>4.34</v>
      </c>
      <c r="F403" s="100">
        <f t="shared" si="10"/>
        <v>48.078519999999997</v>
      </c>
    </row>
    <row r="404" spans="1:31" x14ac:dyDescent="0.35">
      <c r="B404" s="106"/>
      <c r="C404" s="102" t="s">
        <v>13</v>
      </c>
      <c r="D404" s="95">
        <v>1.8</v>
      </c>
      <c r="E404" s="96">
        <v>2.6</v>
      </c>
      <c r="F404" s="97">
        <f t="shared" si="10"/>
        <v>4.6800000000000006</v>
      </c>
    </row>
    <row r="405" spans="1:31" x14ac:dyDescent="0.35">
      <c r="B405" s="106"/>
      <c r="C405" s="94" t="s">
        <v>491</v>
      </c>
      <c r="D405" s="95">
        <f>SUM(D398:D404)</f>
        <v>58.834000000000003</v>
      </c>
      <c r="E405" s="96"/>
      <c r="F405" s="97">
        <f>SUM(F398:F404)</f>
        <v>233.74143999999998</v>
      </c>
      <c r="I405" s="109"/>
      <c r="J405" s="109"/>
      <c r="K405" s="109"/>
      <c r="L405" s="109"/>
      <c r="M405" s="109"/>
      <c r="N405" s="109"/>
      <c r="O405" s="109"/>
      <c r="P405" s="107"/>
      <c r="Q405" s="109"/>
      <c r="R405" s="109"/>
      <c r="S405" s="109"/>
      <c r="T405" s="109"/>
      <c r="U405" s="109"/>
      <c r="V405" s="109"/>
      <c r="W405" s="109"/>
      <c r="X405" s="109"/>
      <c r="Y405" s="107"/>
      <c r="Z405" s="109"/>
      <c r="AA405" s="109"/>
      <c r="AB405" s="109"/>
      <c r="AC405" s="109"/>
      <c r="AD405" s="107"/>
      <c r="AE405" s="110"/>
    </row>
    <row r="406" spans="1:31" x14ac:dyDescent="0.35">
      <c r="B406" s="93"/>
      <c r="C406" s="102" t="s">
        <v>492</v>
      </c>
      <c r="D406" s="98">
        <f>D405-D404</f>
        <v>57.034000000000006</v>
      </c>
      <c r="E406" s="99"/>
      <c r="F406" s="100">
        <f>F405-F404-F398</f>
        <v>224.38143999999997</v>
      </c>
      <c r="G406" s="97"/>
      <c r="H406" s="111"/>
      <c r="I406" s="111"/>
      <c r="J406" s="111"/>
      <c r="K406" s="111"/>
      <c r="L406" s="111"/>
      <c r="M406" s="111"/>
      <c r="N406" s="111"/>
      <c r="O406" s="111"/>
      <c r="P406" s="93"/>
      <c r="Q406" s="111"/>
      <c r="R406" s="111"/>
      <c r="S406" s="111"/>
      <c r="T406" s="111"/>
      <c r="U406" s="111"/>
      <c r="V406" s="111"/>
      <c r="W406" s="111"/>
      <c r="X406" s="111"/>
      <c r="Y406" s="93"/>
      <c r="Z406" s="111"/>
      <c r="AA406" s="111"/>
      <c r="AB406" s="111"/>
      <c r="AC406" s="111"/>
      <c r="AD406" s="93"/>
      <c r="AE406" s="112"/>
    </row>
    <row r="407" spans="1:31" x14ac:dyDescent="0.35">
      <c r="A407" s="22">
        <f>A398+1</f>
        <v>59</v>
      </c>
      <c r="B407" s="93" t="s">
        <v>577</v>
      </c>
      <c r="C407" s="94" t="s">
        <v>13</v>
      </c>
      <c r="D407" s="95">
        <v>1.8</v>
      </c>
      <c r="E407" s="96">
        <v>4.7</v>
      </c>
      <c r="F407" s="97">
        <f t="shared" ref="F407:F413" si="11">D407*E407</f>
        <v>8.4600000000000009</v>
      </c>
      <c r="G407" s="97">
        <f>D407</f>
        <v>1.8</v>
      </c>
      <c r="H407" s="98">
        <f>D408</f>
        <v>11.074</v>
      </c>
      <c r="I407" s="99"/>
      <c r="J407" s="99">
        <f>D409</f>
        <v>9.5779999999999994</v>
      </c>
      <c r="K407" s="99">
        <f>D410</f>
        <v>13.922000000000001</v>
      </c>
      <c r="L407" s="99">
        <f>D411</f>
        <v>9.5779999999999994</v>
      </c>
      <c r="M407" s="99"/>
      <c r="N407" s="100">
        <f>D412</f>
        <v>11.074</v>
      </c>
      <c r="O407" s="100">
        <f>D413</f>
        <v>1.8</v>
      </c>
      <c r="P407" s="99">
        <f>E407</f>
        <v>4.7</v>
      </c>
      <c r="Q407" s="99">
        <f>E408</f>
        <v>4.7</v>
      </c>
      <c r="R407" s="99"/>
      <c r="S407" s="99">
        <f>E409</f>
        <v>4.45</v>
      </c>
      <c r="T407" s="99">
        <f>E410</f>
        <v>4.0999999999999996</v>
      </c>
      <c r="U407" s="99">
        <f>E411</f>
        <v>4.45</v>
      </c>
      <c r="V407" s="99"/>
      <c r="W407" s="100">
        <f>E412</f>
        <v>4.7</v>
      </c>
      <c r="X407" s="100">
        <f>E413</f>
        <v>4.7</v>
      </c>
      <c r="Y407" s="99">
        <f>H407*Q407+N407*W407</f>
        <v>104.0956</v>
      </c>
      <c r="Z407" s="99"/>
      <c r="AA407" s="99">
        <f>J407*S407+L407*U407</f>
        <v>85.244199999999992</v>
      </c>
      <c r="AB407" s="99">
        <f>K407*T407</f>
        <v>57.080199999999998</v>
      </c>
      <c r="AC407" s="100">
        <f>O407*X407+G407*P407</f>
        <v>16.920000000000002</v>
      </c>
      <c r="AD407" s="99">
        <f>Y407+Z407+AA407+AB407+AC407</f>
        <v>263.33999999999997</v>
      </c>
      <c r="AE407" s="99">
        <f>AD407-AC407</f>
        <v>246.41999999999996</v>
      </c>
    </row>
    <row r="408" spans="1:31" x14ac:dyDescent="0.35">
      <c r="B408" s="101"/>
      <c r="C408" s="113" t="s">
        <v>533</v>
      </c>
      <c r="D408" s="98">
        <v>11.074</v>
      </c>
      <c r="E408" s="99">
        <v>4.7</v>
      </c>
      <c r="F408" s="100">
        <f t="shared" si="11"/>
        <v>52.047800000000002</v>
      </c>
      <c r="G408" s="103"/>
      <c r="H408" s="104"/>
      <c r="I408" s="104"/>
      <c r="J408" s="104"/>
      <c r="K408" s="104"/>
      <c r="L408" s="104"/>
      <c r="M408" s="104"/>
      <c r="N408" s="104"/>
      <c r="O408" s="104"/>
      <c r="P408" s="101"/>
      <c r="Q408" s="104"/>
      <c r="R408" s="104"/>
      <c r="S408" s="104"/>
      <c r="T408" s="104"/>
      <c r="U408" s="104"/>
      <c r="V408" s="104"/>
      <c r="W408" s="104"/>
      <c r="X408" s="104"/>
      <c r="Y408" s="101"/>
      <c r="Z408" s="104"/>
      <c r="AA408" s="104"/>
      <c r="AB408" s="104"/>
      <c r="AC408" s="104"/>
      <c r="AD408" s="101"/>
      <c r="AE408" s="105"/>
    </row>
    <row r="409" spans="1:31" x14ac:dyDescent="0.35">
      <c r="B409" s="106"/>
      <c r="C409" s="102" t="s">
        <v>534</v>
      </c>
      <c r="D409" s="98">
        <v>9.5779999999999994</v>
      </c>
      <c r="E409" s="99">
        <v>4.45</v>
      </c>
      <c r="F409" s="100">
        <f t="shared" si="11"/>
        <v>42.622099999999996</v>
      </c>
    </row>
    <row r="410" spans="1:31" x14ac:dyDescent="0.35">
      <c r="B410" s="106"/>
      <c r="C410" s="113" t="s">
        <v>523</v>
      </c>
      <c r="D410" s="98">
        <v>13.922000000000001</v>
      </c>
      <c r="E410" s="99">
        <v>4.0999999999999996</v>
      </c>
      <c r="F410" s="100">
        <f t="shared" si="11"/>
        <v>57.080199999999998</v>
      </c>
    </row>
    <row r="411" spans="1:31" x14ac:dyDescent="0.35">
      <c r="B411" s="106"/>
      <c r="C411" s="102" t="s">
        <v>534</v>
      </c>
      <c r="D411" s="98">
        <v>9.5779999999999994</v>
      </c>
      <c r="E411" s="99">
        <v>4.45</v>
      </c>
      <c r="F411" s="100">
        <f t="shared" si="11"/>
        <v>42.622099999999996</v>
      </c>
    </row>
    <row r="412" spans="1:31" x14ac:dyDescent="0.35">
      <c r="B412" s="106"/>
      <c r="C412" s="113" t="s">
        <v>533</v>
      </c>
      <c r="D412" s="98">
        <v>11.074</v>
      </c>
      <c r="E412" s="99">
        <v>4.7</v>
      </c>
      <c r="F412" s="100">
        <f t="shared" si="11"/>
        <v>52.047800000000002</v>
      </c>
    </row>
    <row r="413" spans="1:31" x14ac:dyDescent="0.35">
      <c r="B413" s="106"/>
      <c r="C413" s="102" t="s">
        <v>13</v>
      </c>
      <c r="D413" s="95">
        <v>1.8</v>
      </c>
      <c r="E413" s="96">
        <v>4.7</v>
      </c>
      <c r="F413" s="97">
        <f t="shared" si="11"/>
        <v>8.4600000000000009</v>
      </c>
    </row>
    <row r="414" spans="1:31" x14ac:dyDescent="0.35">
      <c r="B414" s="106"/>
      <c r="C414" s="94" t="s">
        <v>491</v>
      </c>
      <c r="D414" s="95">
        <f>SUM(D407:D413)</f>
        <v>58.825999999999993</v>
      </c>
      <c r="E414" s="96"/>
      <c r="F414" s="97">
        <f>SUM(F407:F413)</f>
        <v>263.33999999999997</v>
      </c>
      <c r="I414" s="109"/>
      <c r="J414" s="109"/>
      <c r="K414" s="109"/>
      <c r="L414" s="109"/>
      <c r="M414" s="109"/>
      <c r="N414" s="109"/>
      <c r="O414" s="109"/>
      <c r="P414" s="107"/>
      <c r="Q414" s="109"/>
      <c r="R414" s="109"/>
      <c r="S414" s="109"/>
      <c r="T414" s="109"/>
      <c r="U414" s="109"/>
      <c r="V414" s="109"/>
      <c r="W414" s="109"/>
      <c r="X414" s="109"/>
      <c r="Y414" s="107"/>
      <c r="Z414" s="109"/>
      <c r="AA414" s="109"/>
      <c r="AB414" s="109"/>
      <c r="AC414" s="109"/>
      <c r="AD414" s="107"/>
      <c r="AE414" s="110"/>
    </row>
    <row r="415" spans="1:31" x14ac:dyDescent="0.35">
      <c r="B415" s="93"/>
      <c r="C415" s="102" t="s">
        <v>492</v>
      </c>
      <c r="D415" s="98">
        <f>D414-D413</f>
        <v>57.025999999999996</v>
      </c>
      <c r="E415" s="99"/>
      <c r="F415" s="100">
        <f>F414-F413-F407</f>
        <v>246.41999999999996</v>
      </c>
      <c r="G415" s="97"/>
      <c r="H415" s="111"/>
      <c r="I415" s="111"/>
      <c r="J415" s="111"/>
      <c r="K415" s="111"/>
      <c r="L415" s="111"/>
      <c r="M415" s="111"/>
      <c r="N415" s="111"/>
      <c r="O415" s="111"/>
      <c r="P415" s="93"/>
      <c r="Q415" s="111"/>
      <c r="R415" s="111"/>
      <c r="S415" s="111"/>
      <c r="T415" s="111"/>
      <c r="U415" s="111"/>
      <c r="V415" s="111"/>
      <c r="W415" s="111"/>
      <c r="X415" s="111"/>
      <c r="Y415" s="93"/>
      <c r="Z415" s="111"/>
      <c r="AA415" s="111"/>
      <c r="AB415" s="111"/>
      <c r="AC415" s="111"/>
      <c r="AD415" s="93"/>
      <c r="AE415" s="112"/>
    </row>
    <row r="416" spans="1:31" x14ac:dyDescent="0.35">
      <c r="A416" s="22">
        <f>A407+1</f>
        <v>60</v>
      </c>
      <c r="B416" s="93" t="s">
        <v>578</v>
      </c>
      <c r="C416" s="94" t="s">
        <v>362</v>
      </c>
      <c r="D416" s="95">
        <v>13.853999999999999</v>
      </c>
      <c r="E416" s="96">
        <v>2.7</v>
      </c>
      <c r="F416" s="97">
        <f>D416*E416</f>
        <v>37.405799999999999</v>
      </c>
      <c r="G416" s="97"/>
      <c r="H416" s="98">
        <f>D416</f>
        <v>13.853999999999999</v>
      </c>
      <c r="I416" s="99">
        <f>D417</f>
        <v>11.377000000000001</v>
      </c>
      <c r="J416" s="99">
        <f>D418</f>
        <v>8</v>
      </c>
      <c r="K416" s="99"/>
      <c r="L416" s="99"/>
      <c r="M416" s="99"/>
      <c r="N416" s="100"/>
      <c r="O416" s="100">
        <f>D419</f>
        <v>7.0650000000000004</v>
      </c>
      <c r="P416" s="99"/>
      <c r="Q416" s="99">
        <f>E416</f>
        <v>2.7</v>
      </c>
      <c r="R416" s="99">
        <f>E417</f>
        <v>3.15</v>
      </c>
      <c r="S416" s="99">
        <f>E418</f>
        <v>3.85</v>
      </c>
      <c r="T416" s="99"/>
      <c r="U416" s="99"/>
      <c r="V416" s="99"/>
      <c r="W416" s="100"/>
      <c r="X416" s="100">
        <f>E419</f>
        <v>4.7</v>
      </c>
      <c r="Y416" s="99">
        <f>H416*Q416</f>
        <v>37.405799999999999</v>
      </c>
      <c r="Z416" s="99">
        <f>I416*R416</f>
        <v>35.83755</v>
      </c>
      <c r="AA416" s="99">
        <f>J416*S416</f>
        <v>30.8</v>
      </c>
      <c r="AB416" s="99"/>
      <c r="AC416" s="100">
        <f>O416*X416</f>
        <v>33.205500000000001</v>
      </c>
      <c r="AD416" s="99">
        <f>Y416+Z416+AA416+AC416</f>
        <v>137.24885</v>
      </c>
      <c r="AE416" s="99">
        <f>AD416-AC416</f>
        <v>104.04335</v>
      </c>
    </row>
    <row r="417" spans="1:31" x14ac:dyDescent="0.35">
      <c r="B417" s="101"/>
      <c r="C417" s="102" t="s">
        <v>16</v>
      </c>
      <c r="D417" s="98">
        <v>11.377000000000001</v>
      </c>
      <c r="E417" s="99">
        <v>3.15</v>
      </c>
      <c r="F417" s="100">
        <f>D417*E417</f>
        <v>35.83755</v>
      </c>
      <c r="G417" s="103"/>
      <c r="H417" s="104"/>
      <c r="I417" s="104"/>
      <c r="J417" s="104"/>
      <c r="K417" s="104"/>
      <c r="L417" s="104"/>
      <c r="M417" s="104"/>
      <c r="N417" s="104"/>
      <c r="O417" s="104"/>
      <c r="P417" s="101"/>
      <c r="Q417" s="104"/>
      <c r="R417" s="104"/>
      <c r="S417" s="104"/>
      <c r="T417" s="104"/>
      <c r="U417" s="104"/>
      <c r="V417" s="104"/>
      <c r="W417" s="104"/>
      <c r="X417" s="104"/>
      <c r="Y417" s="101"/>
      <c r="Z417" s="104"/>
      <c r="AA417" s="104"/>
      <c r="AB417" s="104"/>
      <c r="AC417" s="104"/>
      <c r="AD417" s="101"/>
      <c r="AE417" s="105"/>
    </row>
    <row r="418" spans="1:31" x14ac:dyDescent="0.35">
      <c r="B418" s="106"/>
      <c r="C418" s="102" t="s">
        <v>12</v>
      </c>
      <c r="D418" s="98">
        <v>8</v>
      </c>
      <c r="E418" s="99">
        <v>3.85</v>
      </c>
      <c r="F418" s="100">
        <f>D418*E418</f>
        <v>30.8</v>
      </c>
    </row>
    <row r="419" spans="1:31" x14ac:dyDescent="0.35">
      <c r="B419" s="106"/>
      <c r="C419" s="102" t="s">
        <v>13</v>
      </c>
      <c r="D419" s="98">
        <v>7.0650000000000004</v>
      </c>
      <c r="E419" s="99">
        <v>4.7</v>
      </c>
      <c r="F419" s="100">
        <f>D419*E419</f>
        <v>33.205500000000001</v>
      </c>
    </row>
    <row r="420" spans="1:31" x14ac:dyDescent="0.35">
      <c r="B420" s="106"/>
      <c r="C420" s="94" t="s">
        <v>491</v>
      </c>
      <c r="D420" s="95">
        <f>SUM(D416:D419)</f>
        <v>40.295999999999999</v>
      </c>
      <c r="E420" s="96"/>
      <c r="F420" s="97">
        <f>SUM(F416:F419)</f>
        <v>137.24885</v>
      </c>
      <c r="I420" s="109"/>
      <c r="J420" s="109"/>
      <c r="K420" s="109"/>
      <c r="L420" s="109"/>
      <c r="M420" s="109"/>
      <c r="N420" s="109"/>
      <c r="O420" s="109"/>
      <c r="P420" s="107"/>
      <c r="Q420" s="109"/>
      <c r="R420" s="109"/>
      <c r="S420" s="109"/>
      <c r="T420" s="109"/>
      <c r="U420" s="109"/>
      <c r="V420" s="109"/>
      <c r="W420" s="109"/>
      <c r="X420" s="109"/>
      <c r="Y420" s="107"/>
      <c r="Z420" s="109"/>
      <c r="AA420" s="109"/>
      <c r="AB420" s="109"/>
      <c r="AC420" s="109"/>
      <c r="AD420" s="107"/>
      <c r="AE420" s="110"/>
    </row>
    <row r="421" spans="1:31" x14ac:dyDescent="0.35">
      <c r="B421" s="93"/>
      <c r="C421" s="102" t="s">
        <v>492</v>
      </c>
      <c r="D421" s="98">
        <f>D420-D419</f>
        <v>33.231000000000002</v>
      </c>
      <c r="E421" s="99"/>
      <c r="F421" s="100">
        <f>F420-F419</f>
        <v>104.04335</v>
      </c>
      <c r="G421" s="97"/>
      <c r="H421" s="111"/>
      <c r="I421" s="111"/>
      <c r="J421" s="111"/>
      <c r="K421" s="111"/>
      <c r="L421" s="111"/>
      <c r="M421" s="111"/>
      <c r="N421" s="111"/>
      <c r="O421" s="111"/>
      <c r="P421" s="93"/>
      <c r="Q421" s="111"/>
      <c r="R421" s="111"/>
      <c r="S421" s="111"/>
      <c r="T421" s="111"/>
      <c r="U421" s="111"/>
      <c r="V421" s="111"/>
      <c r="W421" s="111"/>
      <c r="X421" s="111"/>
      <c r="Y421" s="93"/>
      <c r="Z421" s="111"/>
      <c r="AA421" s="111"/>
      <c r="AB421" s="111"/>
      <c r="AC421" s="111"/>
      <c r="AD421" s="93"/>
      <c r="AE421" s="112"/>
    </row>
    <row r="422" spans="1:31" x14ac:dyDescent="0.35">
      <c r="A422" s="22">
        <f>A416+1</f>
        <v>61</v>
      </c>
      <c r="B422" s="93" t="s">
        <v>579</v>
      </c>
      <c r="C422" s="94" t="s">
        <v>362</v>
      </c>
      <c r="D422" s="95">
        <v>13.853999999999999</v>
      </c>
      <c r="E422" s="96">
        <v>2.7</v>
      </c>
      <c r="F422" s="97">
        <f>D422*E422</f>
        <v>37.405799999999999</v>
      </c>
      <c r="G422" s="97"/>
      <c r="H422" s="98">
        <f>D422</f>
        <v>13.853999999999999</v>
      </c>
      <c r="I422" s="99">
        <f>D423</f>
        <v>12.497</v>
      </c>
      <c r="J422" s="99">
        <f>D424</f>
        <v>11.459</v>
      </c>
      <c r="K422" s="99"/>
      <c r="L422" s="99"/>
      <c r="M422" s="99"/>
      <c r="N422" s="100"/>
      <c r="O422" s="100">
        <f>D425</f>
        <v>9.4749999999999996</v>
      </c>
      <c r="P422" s="99"/>
      <c r="Q422" s="99">
        <f>E422</f>
        <v>2.7</v>
      </c>
      <c r="R422" s="99">
        <f>E423</f>
        <v>3.2</v>
      </c>
      <c r="S422" s="99">
        <f>E424</f>
        <v>3.95</v>
      </c>
      <c r="T422" s="99"/>
      <c r="U422" s="99"/>
      <c r="V422" s="99"/>
      <c r="W422" s="100"/>
      <c r="X422" s="100">
        <f>E425</f>
        <v>4.7</v>
      </c>
      <c r="Y422" s="99">
        <f>H422*Q422</f>
        <v>37.405799999999999</v>
      </c>
      <c r="Z422" s="99">
        <f>I422*R422</f>
        <v>39.990400000000001</v>
      </c>
      <c r="AA422" s="99">
        <f>J422*S422</f>
        <v>45.26305</v>
      </c>
      <c r="AB422" s="99"/>
      <c r="AC422" s="100">
        <f>O422*X422</f>
        <v>44.532499999999999</v>
      </c>
      <c r="AD422" s="99">
        <f>Y422+Z422+AA422+AC422</f>
        <v>167.19174999999998</v>
      </c>
      <c r="AE422" s="99">
        <f>AD422-AC422</f>
        <v>122.65924999999999</v>
      </c>
    </row>
    <row r="423" spans="1:31" x14ac:dyDescent="0.35">
      <c r="B423" s="101"/>
      <c r="C423" s="102" t="s">
        <v>16</v>
      </c>
      <c r="D423" s="98">
        <v>12.497</v>
      </c>
      <c r="E423" s="99">
        <v>3.2</v>
      </c>
      <c r="F423" s="100">
        <f>D423*E423</f>
        <v>39.990400000000001</v>
      </c>
      <c r="G423" s="103"/>
      <c r="H423" s="104"/>
      <c r="I423" s="104"/>
      <c r="J423" s="104"/>
      <c r="K423" s="104"/>
      <c r="L423" s="104"/>
      <c r="M423" s="104"/>
      <c r="N423" s="104"/>
      <c r="O423" s="104"/>
      <c r="P423" s="101"/>
      <c r="Q423" s="104"/>
      <c r="R423" s="104"/>
      <c r="S423" s="104"/>
      <c r="T423" s="104"/>
      <c r="U423" s="104"/>
      <c r="V423" s="104"/>
      <c r="W423" s="104"/>
      <c r="X423" s="104"/>
      <c r="Y423" s="101"/>
      <c r="Z423" s="104"/>
      <c r="AA423" s="104"/>
      <c r="AB423" s="104"/>
      <c r="AC423" s="104"/>
      <c r="AD423" s="101"/>
      <c r="AE423" s="105"/>
    </row>
    <row r="424" spans="1:31" x14ac:dyDescent="0.35">
      <c r="B424" s="106"/>
      <c r="C424" s="102" t="s">
        <v>12</v>
      </c>
      <c r="D424" s="98">
        <v>11.459</v>
      </c>
      <c r="E424" s="99">
        <v>3.95</v>
      </c>
      <c r="F424" s="100">
        <f>D424*E424</f>
        <v>45.26305</v>
      </c>
    </row>
    <row r="425" spans="1:31" x14ac:dyDescent="0.35">
      <c r="B425" s="106"/>
      <c r="C425" s="102" t="s">
        <v>13</v>
      </c>
      <c r="D425" s="98">
        <v>9.4749999999999996</v>
      </c>
      <c r="E425" s="99">
        <v>4.7</v>
      </c>
      <c r="F425" s="100">
        <f>D425*E425</f>
        <v>44.532499999999999</v>
      </c>
    </row>
    <row r="426" spans="1:31" x14ac:dyDescent="0.35">
      <c r="B426" s="106"/>
      <c r="C426" s="94" t="s">
        <v>491</v>
      </c>
      <c r="D426" s="95">
        <f>SUM(D422:D425)</f>
        <v>47.285000000000004</v>
      </c>
      <c r="E426" s="96"/>
      <c r="F426" s="97">
        <f>SUM(F422:F425)</f>
        <v>167.19174999999998</v>
      </c>
      <c r="I426" s="109"/>
      <c r="J426" s="109"/>
      <c r="K426" s="109"/>
      <c r="L426" s="109"/>
      <c r="M426" s="109"/>
      <c r="N426" s="109"/>
      <c r="O426" s="109"/>
      <c r="P426" s="107"/>
      <c r="Q426" s="109"/>
      <c r="R426" s="109"/>
      <c r="S426" s="109"/>
      <c r="T426" s="109"/>
      <c r="U426" s="109"/>
      <c r="V426" s="109"/>
      <c r="W426" s="109"/>
      <c r="X426" s="109"/>
      <c r="Y426" s="107"/>
      <c r="Z426" s="109"/>
      <c r="AA426" s="109"/>
      <c r="AB426" s="109"/>
      <c r="AC426" s="109"/>
      <c r="AD426" s="107"/>
      <c r="AE426" s="110"/>
    </row>
    <row r="427" spans="1:31" x14ac:dyDescent="0.35">
      <c r="B427" s="93"/>
      <c r="C427" s="102" t="s">
        <v>492</v>
      </c>
      <c r="D427" s="98">
        <f>D426-D425</f>
        <v>37.81</v>
      </c>
      <c r="E427" s="99"/>
      <c r="F427" s="100">
        <f>F426-F425</f>
        <v>122.65924999999999</v>
      </c>
      <c r="G427" s="97"/>
      <c r="H427" s="111"/>
      <c r="I427" s="111"/>
      <c r="J427" s="111"/>
      <c r="K427" s="111"/>
      <c r="L427" s="111"/>
      <c r="M427" s="111"/>
      <c r="N427" s="111"/>
      <c r="O427" s="111"/>
      <c r="P427" s="93"/>
      <c r="Q427" s="111"/>
      <c r="R427" s="111"/>
      <c r="S427" s="111"/>
      <c r="T427" s="111"/>
      <c r="U427" s="111"/>
      <c r="V427" s="111"/>
      <c r="W427" s="111"/>
      <c r="X427" s="111"/>
      <c r="Y427" s="93"/>
      <c r="Z427" s="111"/>
      <c r="AA427" s="111"/>
      <c r="AB427" s="111"/>
      <c r="AC427" s="111"/>
      <c r="AD427" s="93"/>
      <c r="AE427" s="112"/>
    </row>
    <row r="428" spans="1:31" x14ac:dyDescent="0.35">
      <c r="A428" s="22">
        <f>A422+1</f>
        <v>62</v>
      </c>
      <c r="B428" s="93" t="s">
        <v>580</v>
      </c>
      <c r="C428" s="94" t="s">
        <v>362</v>
      </c>
      <c r="D428" s="95">
        <v>17.504000000000001</v>
      </c>
      <c r="E428" s="96">
        <v>2.7</v>
      </c>
      <c r="F428" s="97">
        <f>D428*E428</f>
        <v>47.260800000000003</v>
      </c>
      <c r="G428" s="97"/>
      <c r="H428" s="98">
        <f>D428</f>
        <v>17.504000000000001</v>
      </c>
      <c r="I428" s="99">
        <f>D429</f>
        <v>15.98</v>
      </c>
      <c r="J428" s="99">
        <f>D430</f>
        <v>8.11</v>
      </c>
      <c r="K428" s="99"/>
      <c r="L428" s="99"/>
      <c r="M428" s="99"/>
      <c r="N428" s="100"/>
      <c r="O428" s="100">
        <f>D431</f>
        <v>10.669</v>
      </c>
      <c r="P428" s="99"/>
      <c r="Q428" s="99">
        <f>E428</f>
        <v>2.7</v>
      </c>
      <c r="R428" s="99">
        <f>E429</f>
        <v>3.2</v>
      </c>
      <c r="S428" s="99">
        <f>E430</f>
        <v>2.85</v>
      </c>
      <c r="T428" s="99"/>
      <c r="U428" s="99"/>
      <c r="V428" s="99"/>
      <c r="W428" s="100"/>
      <c r="X428" s="100">
        <f>E431</f>
        <v>4.7</v>
      </c>
      <c r="Y428" s="99">
        <f>H428*Q428</f>
        <v>47.260800000000003</v>
      </c>
      <c r="Z428" s="99">
        <f>I428*R428</f>
        <v>51.136000000000003</v>
      </c>
      <c r="AA428" s="99">
        <f>J428*S428</f>
        <v>23.113499999999998</v>
      </c>
      <c r="AB428" s="99"/>
      <c r="AC428" s="100">
        <f>O428*X428</f>
        <v>50.144300000000001</v>
      </c>
      <c r="AD428" s="99">
        <f>Y428+Z428+AA428+AC428</f>
        <v>171.65460000000002</v>
      </c>
      <c r="AE428" s="99">
        <f>AD428-AC428</f>
        <v>121.51030000000002</v>
      </c>
    </row>
    <row r="429" spans="1:31" x14ac:dyDescent="0.35">
      <c r="B429" s="101"/>
      <c r="C429" s="102" t="s">
        <v>16</v>
      </c>
      <c r="D429" s="98">
        <v>15.98</v>
      </c>
      <c r="E429" s="99">
        <v>3.2</v>
      </c>
      <c r="F429" s="100">
        <f>D429*E429</f>
        <v>51.136000000000003</v>
      </c>
      <c r="G429" s="103"/>
      <c r="H429" s="104"/>
      <c r="I429" s="104"/>
      <c r="J429" s="104"/>
      <c r="K429" s="104"/>
      <c r="L429" s="104"/>
      <c r="M429" s="104"/>
      <c r="N429" s="104"/>
      <c r="O429" s="104"/>
      <c r="P429" s="101"/>
      <c r="Q429" s="104"/>
      <c r="R429" s="104"/>
      <c r="S429" s="104"/>
      <c r="T429" s="104"/>
      <c r="U429" s="104"/>
      <c r="V429" s="104"/>
      <c r="W429" s="104"/>
      <c r="X429" s="104"/>
      <c r="Y429" s="101"/>
      <c r="Z429" s="104"/>
      <c r="AA429" s="104"/>
      <c r="AB429" s="104"/>
      <c r="AC429" s="104"/>
      <c r="AD429" s="101"/>
      <c r="AE429" s="105"/>
    </row>
    <row r="430" spans="1:31" x14ac:dyDescent="0.35">
      <c r="B430" s="106"/>
      <c r="C430" s="102" t="s">
        <v>12</v>
      </c>
      <c r="D430" s="98">
        <v>8.11</v>
      </c>
      <c r="E430" s="99">
        <v>2.85</v>
      </c>
      <c r="F430" s="100">
        <f>D430*E430</f>
        <v>23.113499999999998</v>
      </c>
    </row>
    <row r="431" spans="1:31" x14ac:dyDescent="0.35">
      <c r="B431" s="106"/>
      <c r="C431" s="102" t="s">
        <v>13</v>
      </c>
      <c r="D431" s="98">
        <v>10.669</v>
      </c>
      <c r="E431" s="99">
        <v>4.7</v>
      </c>
      <c r="F431" s="100">
        <f>D431*E431</f>
        <v>50.144300000000001</v>
      </c>
    </row>
    <row r="432" spans="1:31" x14ac:dyDescent="0.35">
      <c r="B432" s="106"/>
      <c r="C432" s="94" t="s">
        <v>491</v>
      </c>
      <c r="D432" s="95">
        <f>SUM(D428:D431)</f>
        <v>52.263000000000005</v>
      </c>
      <c r="E432" s="96"/>
      <c r="F432" s="97">
        <f>SUM(F428:F431)</f>
        <v>171.65460000000002</v>
      </c>
      <c r="I432" s="109"/>
      <c r="J432" s="109"/>
      <c r="K432" s="109"/>
      <c r="L432" s="109"/>
      <c r="M432" s="109"/>
      <c r="N432" s="109"/>
      <c r="O432" s="109"/>
      <c r="P432" s="107"/>
      <c r="Q432" s="109"/>
      <c r="R432" s="109"/>
      <c r="S432" s="109"/>
      <c r="T432" s="109"/>
      <c r="U432" s="109"/>
      <c r="V432" s="109"/>
      <c r="W432" s="109"/>
      <c r="X432" s="109"/>
      <c r="Y432" s="107"/>
      <c r="Z432" s="109"/>
      <c r="AA432" s="109"/>
      <c r="AB432" s="109"/>
      <c r="AC432" s="109"/>
      <c r="AD432" s="107"/>
      <c r="AE432" s="110"/>
    </row>
    <row r="433" spans="1:31" x14ac:dyDescent="0.35">
      <c r="B433" s="93"/>
      <c r="C433" s="102" t="s">
        <v>492</v>
      </c>
      <c r="D433" s="98">
        <f>D432-D431</f>
        <v>41.594000000000008</v>
      </c>
      <c r="E433" s="99"/>
      <c r="F433" s="100">
        <f>F432-F431</f>
        <v>121.51030000000002</v>
      </c>
      <c r="G433" s="97"/>
      <c r="H433" s="111"/>
      <c r="I433" s="111"/>
      <c r="J433" s="111"/>
      <c r="K433" s="111"/>
      <c r="L433" s="111"/>
      <c r="M433" s="111"/>
      <c r="N433" s="111"/>
      <c r="O433" s="111"/>
      <c r="P433" s="93"/>
      <c r="Q433" s="111"/>
      <c r="R433" s="111"/>
      <c r="S433" s="111"/>
      <c r="T433" s="111"/>
      <c r="U433" s="111"/>
      <c r="V433" s="111"/>
      <c r="W433" s="111"/>
      <c r="X433" s="111"/>
      <c r="Y433" s="93"/>
      <c r="Z433" s="111"/>
      <c r="AA433" s="111"/>
      <c r="AB433" s="111"/>
      <c r="AC433" s="111"/>
      <c r="AD433" s="93"/>
      <c r="AE433" s="112"/>
    </row>
    <row r="434" spans="1:31" x14ac:dyDescent="0.35">
      <c r="A434" s="22">
        <f>A428+1</f>
        <v>63</v>
      </c>
      <c r="B434" s="93" t="s">
        <v>581</v>
      </c>
      <c r="C434" s="94" t="s">
        <v>362</v>
      </c>
      <c r="D434" s="95">
        <v>17.504000000000001</v>
      </c>
      <c r="E434" s="96">
        <v>2.7</v>
      </c>
      <c r="F434" s="97">
        <f>D434*E434</f>
        <v>47.260800000000003</v>
      </c>
      <c r="G434" s="97"/>
      <c r="H434" s="98">
        <f>D434</f>
        <v>17.504000000000001</v>
      </c>
      <c r="I434" s="99">
        <f>D435</f>
        <v>15.98</v>
      </c>
      <c r="J434" s="99">
        <f>D436</f>
        <v>11.458</v>
      </c>
      <c r="K434" s="99"/>
      <c r="L434" s="99"/>
      <c r="M434" s="99"/>
      <c r="N434" s="100"/>
      <c r="O434" s="100">
        <f>D437</f>
        <v>10.075000000000001</v>
      </c>
      <c r="P434" s="99"/>
      <c r="Q434" s="99">
        <f>E434</f>
        <v>2.7</v>
      </c>
      <c r="R434" s="99">
        <f>E435</f>
        <v>3.2</v>
      </c>
      <c r="S434" s="99">
        <f>E436</f>
        <v>3.95</v>
      </c>
      <c r="T434" s="99"/>
      <c r="U434" s="99"/>
      <c r="V434" s="99"/>
      <c r="W434" s="100"/>
      <c r="X434" s="100">
        <f>E437</f>
        <v>4.7</v>
      </c>
      <c r="Y434" s="99">
        <f>H434*Q434</f>
        <v>47.260800000000003</v>
      </c>
      <c r="Z434" s="99">
        <f>I434*R434</f>
        <v>51.136000000000003</v>
      </c>
      <c r="AA434" s="99">
        <f>J434*S434</f>
        <v>45.259100000000004</v>
      </c>
      <c r="AB434" s="99"/>
      <c r="AC434" s="100">
        <f>O434*X434</f>
        <v>47.352500000000006</v>
      </c>
      <c r="AD434" s="99">
        <f>Y434+Z434+AA434+AC434</f>
        <v>191.00840000000005</v>
      </c>
      <c r="AE434" s="99">
        <f>AD434-AC434</f>
        <v>143.65590000000003</v>
      </c>
    </row>
    <row r="435" spans="1:31" x14ac:dyDescent="0.35">
      <c r="B435" s="101"/>
      <c r="C435" s="102" t="s">
        <v>16</v>
      </c>
      <c r="D435" s="98">
        <v>15.98</v>
      </c>
      <c r="E435" s="99">
        <v>3.2</v>
      </c>
      <c r="F435" s="100">
        <f>D435*E435</f>
        <v>51.136000000000003</v>
      </c>
      <c r="G435" s="103"/>
      <c r="H435" s="104"/>
      <c r="I435" s="104"/>
      <c r="J435" s="104"/>
      <c r="K435" s="104"/>
      <c r="L435" s="104"/>
      <c r="M435" s="104"/>
      <c r="N435" s="104"/>
      <c r="O435" s="104"/>
      <c r="P435" s="101"/>
      <c r="Q435" s="104"/>
      <c r="R435" s="104"/>
      <c r="S435" s="104"/>
      <c r="T435" s="104"/>
      <c r="U435" s="104"/>
      <c r="V435" s="104"/>
      <c r="W435" s="104"/>
      <c r="X435" s="104"/>
      <c r="Y435" s="101"/>
      <c r="Z435" s="104"/>
      <c r="AA435" s="104"/>
      <c r="AB435" s="104"/>
      <c r="AC435" s="104"/>
      <c r="AD435" s="101"/>
      <c r="AE435" s="105"/>
    </row>
    <row r="436" spans="1:31" x14ac:dyDescent="0.35">
      <c r="B436" s="106"/>
      <c r="C436" s="102" t="s">
        <v>12</v>
      </c>
      <c r="D436" s="98">
        <v>11.458</v>
      </c>
      <c r="E436" s="99">
        <v>3.95</v>
      </c>
      <c r="F436" s="100">
        <f>D436*E436</f>
        <v>45.259100000000004</v>
      </c>
    </row>
    <row r="437" spans="1:31" x14ac:dyDescent="0.35">
      <c r="B437" s="106"/>
      <c r="C437" s="102" t="s">
        <v>13</v>
      </c>
      <c r="D437" s="98">
        <v>10.075000000000001</v>
      </c>
      <c r="E437" s="99">
        <v>4.7</v>
      </c>
      <c r="F437" s="100">
        <f>D437*E437</f>
        <v>47.352500000000006</v>
      </c>
    </row>
    <row r="438" spans="1:31" x14ac:dyDescent="0.35">
      <c r="B438" s="106"/>
      <c r="C438" s="94" t="s">
        <v>491</v>
      </c>
      <c r="D438" s="95">
        <f>SUM(D434:D437)</f>
        <v>55.017000000000003</v>
      </c>
      <c r="E438" s="96"/>
      <c r="F438" s="97">
        <f>SUM(F434:F437)</f>
        <v>191.00840000000005</v>
      </c>
      <c r="I438" s="109"/>
      <c r="J438" s="109"/>
      <c r="K438" s="109"/>
      <c r="L438" s="109"/>
      <c r="M438" s="109"/>
      <c r="N438" s="109"/>
      <c r="O438" s="109"/>
      <c r="P438" s="107"/>
      <c r="Q438" s="109"/>
      <c r="R438" s="109"/>
      <c r="S438" s="109"/>
      <c r="T438" s="109"/>
      <c r="U438" s="109"/>
      <c r="V438" s="109"/>
      <c r="W438" s="109"/>
      <c r="X438" s="109"/>
      <c r="Y438" s="107"/>
      <c r="Z438" s="109"/>
      <c r="AA438" s="109"/>
      <c r="AB438" s="109"/>
      <c r="AC438" s="109"/>
      <c r="AD438" s="107"/>
      <c r="AE438" s="110"/>
    </row>
    <row r="439" spans="1:31" x14ac:dyDescent="0.35">
      <c r="B439" s="93"/>
      <c r="C439" s="102" t="s">
        <v>492</v>
      </c>
      <c r="D439" s="98">
        <f>D438-D437</f>
        <v>44.942</v>
      </c>
      <c r="E439" s="99"/>
      <c r="F439" s="100">
        <f>F438-F437</f>
        <v>143.65590000000003</v>
      </c>
      <c r="G439" s="97"/>
      <c r="H439" s="111"/>
      <c r="I439" s="111"/>
      <c r="J439" s="111"/>
      <c r="K439" s="111"/>
      <c r="L439" s="111"/>
      <c r="M439" s="111"/>
      <c r="N439" s="111"/>
      <c r="O439" s="111"/>
      <c r="P439" s="93"/>
      <c r="Q439" s="111"/>
      <c r="R439" s="111"/>
      <c r="S439" s="111"/>
      <c r="T439" s="111"/>
      <c r="U439" s="111"/>
      <c r="V439" s="111"/>
      <c r="W439" s="111"/>
      <c r="X439" s="111"/>
      <c r="Y439" s="93"/>
      <c r="Z439" s="111"/>
      <c r="AA439" s="111"/>
      <c r="AB439" s="111"/>
      <c r="AC439" s="111"/>
      <c r="AD439" s="93"/>
      <c r="AE439" s="112"/>
    </row>
    <row r="440" spans="1:31" x14ac:dyDescent="0.35">
      <c r="A440" s="22">
        <f>A434+1</f>
        <v>64</v>
      </c>
      <c r="B440" s="93" t="s">
        <v>582</v>
      </c>
      <c r="C440" s="94" t="s">
        <v>362</v>
      </c>
      <c r="D440" s="95">
        <v>22.353999999999999</v>
      </c>
      <c r="E440" s="96">
        <v>2.7</v>
      </c>
      <c r="F440" s="97">
        <f>D440*E440</f>
        <v>60.355800000000002</v>
      </c>
      <c r="G440" s="97"/>
      <c r="H440" s="98">
        <f>D440</f>
        <v>22.353999999999999</v>
      </c>
      <c r="I440" s="99">
        <f>D441</f>
        <v>19.25</v>
      </c>
      <c r="J440" s="99">
        <f>D442</f>
        <v>12.612</v>
      </c>
      <c r="K440" s="99"/>
      <c r="L440" s="99"/>
      <c r="M440" s="99"/>
      <c r="N440" s="100"/>
      <c r="O440" s="100">
        <f>D443</f>
        <v>9.4749999999999996</v>
      </c>
      <c r="P440" s="99"/>
      <c r="Q440" s="99">
        <f>E440</f>
        <v>2.7</v>
      </c>
      <c r="R440" s="99">
        <f>E441</f>
        <v>3.2</v>
      </c>
      <c r="S440" s="99">
        <f>E442</f>
        <v>3.95</v>
      </c>
      <c r="T440" s="99"/>
      <c r="U440" s="99"/>
      <c r="V440" s="99"/>
      <c r="W440" s="100"/>
      <c r="X440" s="100">
        <f>E443</f>
        <v>4.7</v>
      </c>
      <c r="Y440" s="99">
        <f>H440*Q440</f>
        <v>60.355800000000002</v>
      </c>
      <c r="Z440" s="99">
        <f>I440*R440</f>
        <v>61.6</v>
      </c>
      <c r="AA440" s="99">
        <f>J440*S440</f>
        <v>49.817399999999999</v>
      </c>
      <c r="AB440" s="99"/>
      <c r="AC440" s="100">
        <f>O440*X440</f>
        <v>44.532499999999999</v>
      </c>
      <c r="AD440" s="99">
        <f>Y440+Z440+AA440+AC440</f>
        <v>216.3057</v>
      </c>
      <c r="AE440" s="99">
        <f>AD440-AC440</f>
        <v>171.7732</v>
      </c>
    </row>
    <row r="441" spans="1:31" x14ac:dyDescent="0.35">
      <c r="B441" s="101"/>
      <c r="C441" s="102" t="s">
        <v>16</v>
      </c>
      <c r="D441" s="98">
        <v>19.25</v>
      </c>
      <c r="E441" s="99">
        <v>3.2</v>
      </c>
      <c r="F441" s="100">
        <f>D441*E441</f>
        <v>61.6</v>
      </c>
      <c r="G441" s="103"/>
      <c r="H441" s="104"/>
      <c r="I441" s="104"/>
      <c r="J441" s="104"/>
      <c r="K441" s="104"/>
      <c r="L441" s="104"/>
      <c r="M441" s="104"/>
      <c r="N441" s="104"/>
      <c r="O441" s="104"/>
      <c r="P441" s="101"/>
      <c r="Q441" s="104"/>
      <c r="R441" s="104"/>
      <c r="S441" s="104"/>
      <c r="T441" s="104"/>
      <c r="U441" s="104"/>
      <c r="V441" s="104"/>
      <c r="W441" s="104"/>
      <c r="X441" s="104"/>
      <c r="Y441" s="101"/>
      <c r="Z441" s="104"/>
      <c r="AA441" s="104"/>
      <c r="AB441" s="104"/>
      <c r="AC441" s="104"/>
      <c r="AD441" s="101"/>
      <c r="AE441" s="105"/>
    </row>
    <row r="442" spans="1:31" x14ac:dyDescent="0.35">
      <c r="B442" s="106"/>
      <c r="C442" s="102" t="s">
        <v>12</v>
      </c>
      <c r="D442" s="98">
        <v>12.612</v>
      </c>
      <c r="E442" s="99">
        <v>3.95</v>
      </c>
      <c r="F442" s="100">
        <f>D442*E442</f>
        <v>49.817399999999999</v>
      </c>
    </row>
    <row r="443" spans="1:31" x14ac:dyDescent="0.35">
      <c r="B443" s="106"/>
      <c r="C443" s="102" t="s">
        <v>13</v>
      </c>
      <c r="D443" s="98">
        <v>9.4749999999999996</v>
      </c>
      <c r="E443" s="99">
        <v>4.7</v>
      </c>
      <c r="F443" s="100">
        <f>D443*E443</f>
        <v>44.532499999999999</v>
      </c>
    </row>
    <row r="444" spans="1:31" x14ac:dyDescent="0.35">
      <c r="B444" s="106"/>
      <c r="C444" s="94" t="s">
        <v>491</v>
      </c>
      <c r="D444" s="95">
        <f>SUM(D440:D443)</f>
        <v>63.691000000000003</v>
      </c>
      <c r="E444" s="96"/>
      <c r="F444" s="97">
        <f>SUM(F440:F443)</f>
        <v>216.3057</v>
      </c>
      <c r="I444" s="109"/>
      <c r="J444" s="109"/>
      <c r="K444" s="109"/>
      <c r="L444" s="109"/>
      <c r="M444" s="109"/>
      <c r="N444" s="109"/>
      <c r="O444" s="109"/>
      <c r="P444" s="107"/>
      <c r="Q444" s="109"/>
      <c r="R444" s="109"/>
      <c r="S444" s="109"/>
      <c r="T444" s="109"/>
      <c r="U444" s="109"/>
      <c r="V444" s="109"/>
      <c r="W444" s="109"/>
      <c r="X444" s="109"/>
      <c r="Y444" s="107"/>
      <c r="Z444" s="109"/>
      <c r="AA444" s="109"/>
      <c r="AB444" s="109"/>
      <c r="AC444" s="109"/>
      <c r="AD444" s="107"/>
      <c r="AE444" s="110"/>
    </row>
    <row r="445" spans="1:31" x14ac:dyDescent="0.35">
      <c r="B445" s="93"/>
      <c r="C445" s="102" t="s">
        <v>492</v>
      </c>
      <c r="D445" s="98">
        <f>D444-D443</f>
        <v>54.216000000000001</v>
      </c>
      <c r="E445" s="99"/>
      <c r="F445" s="100">
        <f>F444-F443</f>
        <v>171.7732</v>
      </c>
      <c r="G445" s="97"/>
      <c r="H445" s="111"/>
      <c r="I445" s="111"/>
      <c r="J445" s="111"/>
      <c r="K445" s="111"/>
      <c r="L445" s="111"/>
      <c r="M445" s="111"/>
      <c r="N445" s="111"/>
      <c r="O445" s="111"/>
      <c r="P445" s="93"/>
      <c r="Q445" s="111"/>
      <c r="R445" s="111"/>
      <c r="S445" s="111"/>
      <c r="T445" s="111"/>
      <c r="U445" s="111"/>
      <c r="V445" s="111"/>
      <c r="W445" s="111"/>
      <c r="X445" s="111"/>
      <c r="Y445" s="93"/>
      <c r="Z445" s="111"/>
      <c r="AA445" s="111"/>
      <c r="AB445" s="111"/>
      <c r="AC445" s="111"/>
      <c r="AD445" s="93"/>
      <c r="AE445" s="112"/>
    </row>
    <row r="446" spans="1:31" x14ac:dyDescent="0.35">
      <c r="A446" s="22">
        <f>A440+1</f>
        <v>65</v>
      </c>
      <c r="B446" s="93" t="s">
        <v>583</v>
      </c>
      <c r="C446" s="94" t="s">
        <v>362</v>
      </c>
      <c r="D446" s="95">
        <v>22.353999999999999</v>
      </c>
      <c r="E446" s="96">
        <v>2.7</v>
      </c>
      <c r="F446" s="97">
        <f>D446*E446</f>
        <v>60.355800000000002</v>
      </c>
      <c r="G446" s="97"/>
      <c r="H446" s="98">
        <f>D446</f>
        <v>22.353999999999999</v>
      </c>
      <c r="I446" s="99">
        <f>D447</f>
        <v>18.291</v>
      </c>
      <c r="J446" s="99">
        <f>D448</f>
        <v>12.290000000000001</v>
      </c>
      <c r="K446" s="99"/>
      <c r="L446" s="99"/>
      <c r="M446" s="99"/>
      <c r="N446" s="100"/>
      <c r="O446" s="100">
        <f>D449</f>
        <v>16.039000000000001</v>
      </c>
      <c r="P446" s="99"/>
      <c r="Q446" s="99">
        <f>E446</f>
        <v>2.7</v>
      </c>
      <c r="R446" s="99">
        <f>E447</f>
        <v>3.15</v>
      </c>
      <c r="S446" s="99">
        <f>E448</f>
        <v>3.85</v>
      </c>
      <c r="T446" s="99"/>
      <c r="U446" s="99"/>
      <c r="V446" s="99"/>
      <c r="W446" s="100"/>
      <c r="X446" s="100">
        <f>E449</f>
        <v>4.7</v>
      </c>
      <c r="Y446" s="99">
        <f>H446*Q446</f>
        <v>60.355800000000002</v>
      </c>
      <c r="Z446" s="99">
        <f>I446*R446</f>
        <v>57.61665</v>
      </c>
      <c r="AA446" s="99">
        <f>J446*S446</f>
        <v>47.316500000000005</v>
      </c>
      <c r="AB446" s="99"/>
      <c r="AC446" s="100">
        <f>O446*X446</f>
        <v>75.383300000000006</v>
      </c>
      <c r="AD446" s="99">
        <f>Y446+Z446+AA446+AC446</f>
        <v>240.67225000000002</v>
      </c>
      <c r="AE446" s="99">
        <f>AD446-AC446</f>
        <v>165.28895</v>
      </c>
    </row>
    <row r="447" spans="1:31" x14ac:dyDescent="0.35">
      <c r="B447" s="101"/>
      <c r="C447" s="102" t="s">
        <v>16</v>
      </c>
      <c r="D447" s="98">
        <v>18.291</v>
      </c>
      <c r="E447" s="99">
        <v>3.15</v>
      </c>
      <c r="F447" s="100">
        <f>D447*E447</f>
        <v>57.61665</v>
      </c>
      <c r="G447" s="103"/>
      <c r="H447" s="104"/>
      <c r="I447" s="104"/>
      <c r="J447" s="104"/>
      <c r="K447" s="104"/>
      <c r="L447" s="104"/>
      <c r="M447" s="104"/>
      <c r="N447" s="104"/>
      <c r="O447" s="104"/>
      <c r="P447" s="101"/>
      <c r="Q447" s="104"/>
      <c r="R447" s="104"/>
      <c r="S447" s="104"/>
      <c r="T447" s="104"/>
      <c r="U447" s="104"/>
      <c r="V447" s="104"/>
      <c r="W447" s="104"/>
      <c r="X447" s="104"/>
      <c r="Y447" s="101"/>
      <c r="Z447" s="104"/>
      <c r="AA447" s="104"/>
      <c r="AB447" s="104"/>
      <c r="AC447" s="104"/>
      <c r="AD447" s="101"/>
      <c r="AE447" s="105"/>
    </row>
    <row r="448" spans="1:31" x14ac:dyDescent="0.35">
      <c r="B448" s="106"/>
      <c r="C448" s="102" t="s">
        <v>12</v>
      </c>
      <c r="D448" s="98">
        <v>12.290000000000001</v>
      </c>
      <c r="E448" s="99">
        <v>3.85</v>
      </c>
      <c r="F448" s="100">
        <f>D448*E448</f>
        <v>47.316500000000005</v>
      </c>
    </row>
    <row r="449" spans="1:31" x14ac:dyDescent="0.35">
      <c r="B449" s="106"/>
      <c r="C449" s="102" t="s">
        <v>13</v>
      </c>
      <c r="D449" s="98">
        <v>16.039000000000001</v>
      </c>
      <c r="E449" s="99">
        <v>4.7</v>
      </c>
      <c r="F449" s="100">
        <f>D449*E449</f>
        <v>75.383300000000006</v>
      </c>
    </row>
    <row r="450" spans="1:31" x14ac:dyDescent="0.35">
      <c r="B450" s="106"/>
      <c r="C450" s="94" t="s">
        <v>491</v>
      </c>
      <c r="D450" s="95">
        <f>SUM(D446:D449)</f>
        <v>68.97399999999999</v>
      </c>
      <c r="E450" s="96"/>
      <c r="F450" s="97">
        <f>SUM(F446:F449)</f>
        <v>240.67225000000002</v>
      </c>
      <c r="I450" s="109"/>
      <c r="J450" s="109"/>
      <c r="K450" s="109"/>
      <c r="L450" s="109"/>
      <c r="M450" s="109"/>
      <c r="N450" s="109"/>
      <c r="O450" s="109"/>
      <c r="P450" s="107"/>
      <c r="Q450" s="109"/>
      <c r="R450" s="109"/>
      <c r="S450" s="109"/>
      <c r="T450" s="109"/>
      <c r="U450" s="109"/>
      <c r="V450" s="109"/>
      <c r="W450" s="109"/>
      <c r="X450" s="109"/>
      <c r="Y450" s="107"/>
      <c r="Z450" s="109"/>
      <c r="AA450" s="109"/>
      <c r="AB450" s="109"/>
      <c r="AC450" s="109"/>
      <c r="AD450" s="107"/>
      <c r="AE450" s="110"/>
    </row>
    <row r="451" spans="1:31" x14ac:dyDescent="0.35">
      <c r="B451" s="93"/>
      <c r="C451" s="102" t="s">
        <v>492</v>
      </c>
      <c r="D451" s="98">
        <f>D450-D449</f>
        <v>52.934999999999988</v>
      </c>
      <c r="E451" s="99"/>
      <c r="F451" s="100">
        <f>F450-F449</f>
        <v>165.28895</v>
      </c>
      <c r="G451" s="97"/>
      <c r="H451" s="111"/>
      <c r="I451" s="111"/>
      <c r="J451" s="111"/>
      <c r="K451" s="111"/>
      <c r="L451" s="111"/>
      <c r="M451" s="111"/>
      <c r="N451" s="111"/>
      <c r="O451" s="111"/>
      <c r="P451" s="93"/>
      <c r="Q451" s="111"/>
      <c r="R451" s="111"/>
      <c r="S451" s="111"/>
      <c r="T451" s="111"/>
      <c r="U451" s="111"/>
      <c r="V451" s="111"/>
      <c r="W451" s="111"/>
      <c r="X451" s="111"/>
      <c r="Y451" s="93"/>
      <c r="Z451" s="111"/>
      <c r="AA451" s="111"/>
      <c r="AB451" s="111"/>
      <c r="AC451" s="111"/>
      <c r="AD451" s="93"/>
      <c r="AE451" s="112"/>
    </row>
    <row r="452" spans="1:31" x14ac:dyDescent="0.35">
      <c r="A452" s="22">
        <f>A446+1</f>
        <v>66</v>
      </c>
      <c r="B452" s="93" t="s">
        <v>584</v>
      </c>
      <c r="C452" s="94" t="s">
        <v>362</v>
      </c>
      <c r="D452" s="95">
        <v>22.353999999999999</v>
      </c>
      <c r="E452" s="96">
        <v>2.7</v>
      </c>
      <c r="F452" s="97">
        <f>D452*E452</f>
        <v>60.355800000000002</v>
      </c>
      <c r="G452" s="97"/>
      <c r="H452" s="98">
        <f>D452</f>
        <v>22.353999999999999</v>
      </c>
      <c r="I452" s="99">
        <f>D453</f>
        <v>18.291</v>
      </c>
      <c r="J452" s="99">
        <f>D454</f>
        <v>14.156000000000001</v>
      </c>
      <c r="K452" s="99"/>
      <c r="L452" s="99"/>
      <c r="M452" s="99"/>
      <c r="N452" s="100"/>
      <c r="O452" s="100">
        <f>D455</f>
        <v>14.173</v>
      </c>
      <c r="P452" s="99"/>
      <c r="Q452" s="99">
        <f>E452</f>
        <v>2.7</v>
      </c>
      <c r="R452" s="99">
        <f>E453</f>
        <v>3.15</v>
      </c>
      <c r="S452" s="99">
        <f>E454</f>
        <v>3.9</v>
      </c>
      <c r="T452" s="99"/>
      <c r="U452" s="99"/>
      <c r="V452" s="99"/>
      <c r="W452" s="100"/>
      <c r="X452" s="100">
        <f>E455</f>
        <v>4.7</v>
      </c>
      <c r="Y452" s="99">
        <f>H452*Q452</f>
        <v>60.355800000000002</v>
      </c>
      <c r="Z452" s="99">
        <f>I452*R452</f>
        <v>57.61665</v>
      </c>
      <c r="AA452" s="99">
        <f>J452*S452</f>
        <v>55.208399999999997</v>
      </c>
      <c r="AB452" s="99"/>
      <c r="AC452" s="100">
        <f>O452*X452</f>
        <v>66.613100000000003</v>
      </c>
      <c r="AD452" s="99">
        <f>Y452+Z452+AA452+AC452</f>
        <v>239.79395000000002</v>
      </c>
      <c r="AE452" s="99">
        <f>AD452-AC452</f>
        <v>173.18085000000002</v>
      </c>
    </row>
    <row r="453" spans="1:31" x14ac:dyDescent="0.35">
      <c r="B453" s="101"/>
      <c r="C453" s="102" t="s">
        <v>16</v>
      </c>
      <c r="D453" s="98">
        <v>18.291</v>
      </c>
      <c r="E453" s="99">
        <v>3.15</v>
      </c>
      <c r="F453" s="100">
        <f>D453*E453</f>
        <v>57.61665</v>
      </c>
      <c r="G453" s="103"/>
      <c r="H453" s="104"/>
      <c r="I453" s="104"/>
      <c r="J453" s="104"/>
      <c r="K453" s="104"/>
      <c r="L453" s="104"/>
      <c r="M453" s="104"/>
      <c r="N453" s="104"/>
      <c r="O453" s="104"/>
      <c r="P453" s="101"/>
      <c r="Q453" s="104"/>
      <c r="R453" s="104"/>
      <c r="S453" s="104"/>
      <c r="T453" s="104"/>
      <c r="U453" s="104"/>
      <c r="V453" s="104"/>
      <c r="W453" s="104"/>
      <c r="X453" s="104"/>
      <c r="Y453" s="101"/>
      <c r="Z453" s="104"/>
      <c r="AA453" s="104"/>
      <c r="AB453" s="104"/>
      <c r="AC453" s="104"/>
      <c r="AD453" s="101"/>
      <c r="AE453" s="105"/>
    </row>
    <row r="454" spans="1:31" x14ac:dyDescent="0.35">
      <c r="B454" s="106"/>
      <c r="C454" s="102" t="s">
        <v>12</v>
      </c>
      <c r="D454" s="98">
        <v>14.156000000000001</v>
      </c>
      <c r="E454" s="99">
        <v>3.9</v>
      </c>
      <c r="F454" s="100">
        <f>D454*E454</f>
        <v>55.208399999999997</v>
      </c>
    </row>
    <row r="455" spans="1:31" x14ac:dyDescent="0.35">
      <c r="B455" s="106"/>
      <c r="C455" s="102" t="s">
        <v>13</v>
      </c>
      <c r="D455" s="98">
        <v>14.173</v>
      </c>
      <c r="E455" s="99">
        <v>4.7</v>
      </c>
      <c r="F455" s="100">
        <f>D455*E455</f>
        <v>66.613100000000003</v>
      </c>
    </row>
    <row r="456" spans="1:31" x14ac:dyDescent="0.35">
      <c r="B456" s="106"/>
      <c r="C456" s="94" t="s">
        <v>491</v>
      </c>
      <c r="D456" s="95">
        <f>SUM(D452:D455)</f>
        <v>68.97399999999999</v>
      </c>
      <c r="E456" s="96"/>
      <c r="F456" s="97">
        <f>SUM(F452:F455)</f>
        <v>239.79395000000002</v>
      </c>
      <c r="I456" s="109"/>
      <c r="J456" s="109"/>
      <c r="K456" s="109"/>
      <c r="L456" s="109"/>
      <c r="M456" s="109"/>
      <c r="N456" s="109"/>
      <c r="O456" s="109"/>
      <c r="P456" s="107"/>
      <c r="Q456" s="109"/>
      <c r="R456" s="109"/>
      <c r="S456" s="109"/>
      <c r="T456" s="109"/>
      <c r="U456" s="109"/>
      <c r="V456" s="109"/>
      <c r="W456" s="109"/>
      <c r="X456" s="109"/>
      <c r="Y456" s="107"/>
      <c r="Z456" s="109"/>
      <c r="AA456" s="109"/>
      <c r="AB456" s="109"/>
      <c r="AC456" s="109"/>
      <c r="AD456" s="107"/>
      <c r="AE456" s="110"/>
    </row>
    <row r="457" spans="1:31" x14ac:dyDescent="0.35">
      <c r="B457" s="93"/>
      <c r="C457" s="102" t="s">
        <v>492</v>
      </c>
      <c r="D457" s="98">
        <f>D456-D455</f>
        <v>54.800999999999988</v>
      </c>
      <c r="E457" s="99"/>
      <c r="F457" s="100">
        <f>F456-F455</f>
        <v>173.18085000000002</v>
      </c>
      <c r="G457" s="97"/>
      <c r="H457" s="111"/>
      <c r="I457" s="111"/>
      <c r="J457" s="111"/>
      <c r="K457" s="111"/>
      <c r="L457" s="111"/>
      <c r="M457" s="111"/>
      <c r="N457" s="111"/>
      <c r="O457" s="111"/>
      <c r="P457" s="93"/>
      <c r="Q457" s="111"/>
      <c r="R457" s="111"/>
      <c r="S457" s="111"/>
      <c r="T457" s="111"/>
      <c r="U457" s="111"/>
      <c r="V457" s="111"/>
      <c r="W457" s="111"/>
      <c r="X457" s="111"/>
      <c r="Y457" s="93"/>
      <c r="Z457" s="111"/>
      <c r="AA457" s="111"/>
      <c r="AB457" s="111"/>
      <c r="AC457" s="111"/>
      <c r="AD457" s="93"/>
      <c r="AE457" s="112"/>
    </row>
    <row r="458" spans="1:31" x14ac:dyDescent="0.35">
      <c r="A458" s="22">
        <f>A452+1</f>
        <v>67</v>
      </c>
      <c r="B458" s="93" t="s">
        <v>585</v>
      </c>
      <c r="C458" s="94" t="s">
        <v>362</v>
      </c>
      <c r="D458" s="95">
        <v>24.150000000000002</v>
      </c>
      <c r="E458" s="96">
        <v>2.65</v>
      </c>
      <c r="F458" s="97">
        <f>D458*E458</f>
        <v>63.997500000000002</v>
      </c>
      <c r="G458" s="97"/>
      <c r="H458" s="98">
        <f>D458</f>
        <v>24.150000000000002</v>
      </c>
      <c r="I458" s="99">
        <f>D459</f>
        <v>24.062999999999999</v>
      </c>
      <c r="J458" s="99">
        <f>D460</f>
        <v>16.605</v>
      </c>
      <c r="K458" s="99"/>
      <c r="L458" s="99"/>
      <c r="M458" s="99"/>
      <c r="N458" s="100"/>
      <c r="O458" s="100">
        <f>D461</f>
        <v>16.039000000000001</v>
      </c>
      <c r="P458" s="99"/>
      <c r="Q458" s="99">
        <f>E458</f>
        <v>2.65</v>
      </c>
      <c r="R458" s="99">
        <f>E459</f>
        <v>3.0500000000000003</v>
      </c>
      <c r="S458" s="99">
        <f>E460</f>
        <v>3.8000000000000003</v>
      </c>
      <c r="T458" s="99"/>
      <c r="U458" s="99"/>
      <c r="V458" s="99"/>
      <c r="W458" s="100"/>
      <c r="X458" s="100">
        <f>E461</f>
        <v>4.7</v>
      </c>
      <c r="Y458" s="99">
        <f>H458*Q458</f>
        <v>63.997500000000002</v>
      </c>
      <c r="Z458" s="99">
        <f>I458*R458</f>
        <v>73.392150000000001</v>
      </c>
      <c r="AA458" s="99">
        <f>J458*S458</f>
        <v>63.099000000000004</v>
      </c>
      <c r="AB458" s="99"/>
      <c r="AC458" s="100">
        <f>O458*X458</f>
        <v>75.383300000000006</v>
      </c>
      <c r="AD458" s="99">
        <f>Y458+Z458+AA458+AC458</f>
        <v>275.87195000000003</v>
      </c>
      <c r="AE458" s="99">
        <f>AD458-AC458</f>
        <v>200.48865000000001</v>
      </c>
    </row>
    <row r="459" spans="1:31" x14ac:dyDescent="0.35">
      <c r="B459" s="101"/>
      <c r="C459" s="102" t="s">
        <v>16</v>
      </c>
      <c r="D459" s="98">
        <v>24.062999999999999</v>
      </c>
      <c r="E459" s="99">
        <v>3.0500000000000003</v>
      </c>
      <c r="F459" s="100">
        <f>D459*E459</f>
        <v>73.392150000000001</v>
      </c>
      <c r="G459" s="103"/>
      <c r="H459" s="104"/>
      <c r="I459" s="104"/>
      <c r="J459" s="104"/>
      <c r="K459" s="104"/>
      <c r="L459" s="104"/>
      <c r="M459" s="104"/>
      <c r="N459" s="104"/>
      <c r="O459" s="104"/>
      <c r="P459" s="101"/>
      <c r="Q459" s="104"/>
      <c r="R459" s="104"/>
      <c r="S459" s="104"/>
      <c r="T459" s="104"/>
      <c r="U459" s="104"/>
      <c r="V459" s="104"/>
      <c r="W459" s="104"/>
      <c r="X459" s="104"/>
      <c r="Y459" s="101"/>
      <c r="Z459" s="104"/>
      <c r="AA459" s="104"/>
      <c r="AB459" s="104"/>
      <c r="AC459" s="104"/>
      <c r="AD459" s="101"/>
      <c r="AE459" s="105"/>
    </row>
    <row r="460" spans="1:31" x14ac:dyDescent="0.35">
      <c r="B460" s="106"/>
      <c r="C460" s="102" t="s">
        <v>12</v>
      </c>
      <c r="D460" s="98">
        <v>16.605</v>
      </c>
      <c r="E460" s="99">
        <v>3.8000000000000003</v>
      </c>
      <c r="F460" s="100">
        <f>D460*E460</f>
        <v>63.099000000000004</v>
      </c>
    </row>
    <row r="461" spans="1:31" x14ac:dyDescent="0.35">
      <c r="B461" s="106"/>
      <c r="C461" s="102" t="s">
        <v>13</v>
      </c>
      <c r="D461" s="98">
        <v>16.039000000000001</v>
      </c>
      <c r="E461" s="99">
        <v>4.7</v>
      </c>
      <c r="F461" s="100">
        <f>D461*E461</f>
        <v>75.383300000000006</v>
      </c>
    </row>
    <row r="462" spans="1:31" x14ac:dyDescent="0.35">
      <c r="B462" s="106"/>
      <c r="C462" s="94" t="s">
        <v>491</v>
      </c>
      <c r="D462" s="95">
        <f>SUM(D458:D461)</f>
        <v>80.856999999999999</v>
      </c>
      <c r="E462" s="96"/>
      <c r="F462" s="97">
        <f>SUM(F458:F461)</f>
        <v>275.87195000000003</v>
      </c>
      <c r="I462" s="109"/>
      <c r="J462" s="109"/>
      <c r="K462" s="109"/>
      <c r="L462" s="109"/>
      <c r="M462" s="109"/>
      <c r="N462" s="109"/>
      <c r="O462" s="109"/>
      <c r="P462" s="107"/>
      <c r="Q462" s="109"/>
      <c r="R462" s="109"/>
      <c r="S462" s="109"/>
      <c r="T462" s="109"/>
      <c r="U462" s="109"/>
      <c r="V462" s="109"/>
      <c r="W462" s="109"/>
      <c r="X462" s="109"/>
      <c r="Y462" s="107"/>
      <c r="Z462" s="109"/>
      <c r="AA462" s="109"/>
      <c r="AB462" s="109"/>
      <c r="AC462" s="109"/>
      <c r="AD462" s="107"/>
      <c r="AE462" s="110"/>
    </row>
    <row r="463" spans="1:31" x14ac:dyDescent="0.35">
      <c r="B463" s="93"/>
      <c r="C463" s="102" t="s">
        <v>492</v>
      </c>
      <c r="D463" s="98">
        <f>D462-D461</f>
        <v>64.817999999999998</v>
      </c>
      <c r="E463" s="99"/>
      <c r="F463" s="100">
        <f>F462-F461</f>
        <v>200.48865000000001</v>
      </c>
      <c r="G463" s="97"/>
      <c r="H463" s="111"/>
      <c r="I463" s="111"/>
      <c r="J463" s="111"/>
      <c r="K463" s="111"/>
      <c r="L463" s="111"/>
      <c r="M463" s="111"/>
      <c r="N463" s="111"/>
      <c r="O463" s="111"/>
      <c r="P463" s="93"/>
      <c r="Q463" s="111"/>
      <c r="R463" s="111"/>
      <c r="S463" s="111"/>
      <c r="T463" s="111"/>
      <c r="U463" s="111"/>
      <c r="V463" s="111"/>
      <c r="W463" s="111"/>
      <c r="X463" s="111"/>
      <c r="Y463" s="93"/>
      <c r="Z463" s="111"/>
      <c r="AA463" s="111"/>
      <c r="AB463" s="111"/>
      <c r="AC463" s="111"/>
      <c r="AD463" s="93"/>
      <c r="AE463" s="112"/>
    </row>
    <row r="464" spans="1:31" x14ac:dyDescent="0.35">
      <c r="A464" s="22">
        <f>A458+1</f>
        <v>68</v>
      </c>
      <c r="B464" s="93" t="s">
        <v>586</v>
      </c>
      <c r="C464" s="94" t="s">
        <v>362</v>
      </c>
      <c r="D464" s="95">
        <v>24.150000000000002</v>
      </c>
      <c r="E464" s="96">
        <v>2.65</v>
      </c>
      <c r="F464" s="97">
        <f>D464*E464</f>
        <v>63.997500000000002</v>
      </c>
      <c r="G464" s="97"/>
      <c r="H464" s="98">
        <f>D464</f>
        <v>24.150000000000002</v>
      </c>
      <c r="I464" s="99">
        <f>D465</f>
        <v>24.062999999999999</v>
      </c>
      <c r="J464" s="99">
        <f>D466</f>
        <v>18.402000000000001</v>
      </c>
      <c r="K464" s="99"/>
      <c r="L464" s="99"/>
      <c r="M464" s="99"/>
      <c r="N464" s="100"/>
      <c r="O464" s="100">
        <f>D467</f>
        <v>16.039000000000001</v>
      </c>
      <c r="P464" s="99"/>
      <c r="Q464" s="99">
        <f>E464</f>
        <v>2.65</v>
      </c>
      <c r="R464" s="99">
        <f>E465</f>
        <v>3.0500000000000003</v>
      </c>
      <c r="S464" s="99">
        <f>E466</f>
        <v>3.85</v>
      </c>
      <c r="T464" s="99"/>
      <c r="U464" s="99"/>
      <c r="V464" s="99"/>
      <c r="W464" s="100"/>
      <c r="X464" s="100">
        <f>E467</f>
        <v>4.7</v>
      </c>
      <c r="Y464" s="99">
        <f>H464*Q464</f>
        <v>63.997500000000002</v>
      </c>
      <c r="Z464" s="99">
        <f>I464*R464</f>
        <v>73.392150000000001</v>
      </c>
      <c r="AA464" s="99">
        <f>J464*S464</f>
        <v>70.847700000000003</v>
      </c>
      <c r="AB464" s="99"/>
      <c r="AC464" s="100">
        <f>O464*X464</f>
        <v>75.383300000000006</v>
      </c>
      <c r="AD464" s="99">
        <f>Y464+Z464+AA464+AC464</f>
        <v>283.62065000000001</v>
      </c>
      <c r="AE464" s="99">
        <f>AD464-AC464</f>
        <v>208.23734999999999</v>
      </c>
    </row>
    <row r="465" spans="1:31" x14ac:dyDescent="0.35">
      <c r="B465" s="101"/>
      <c r="C465" s="102" t="s">
        <v>16</v>
      </c>
      <c r="D465" s="98">
        <v>24.062999999999999</v>
      </c>
      <c r="E465" s="99">
        <v>3.0500000000000003</v>
      </c>
      <c r="F465" s="100">
        <f>D465*E465</f>
        <v>73.392150000000001</v>
      </c>
      <c r="G465" s="103"/>
      <c r="H465" s="104"/>
      <c r="I465" s="104"/>
      <c r="J465" s="104"/>
      <c r="K465" s="104"/>
      <c r="L465" s="104"/>
      <c r="M465" s="104"/>
      <c r="N465" s="104"/>
      <c r="O465" s="104"/>
      <c r="P465" s="101"/>
      <c r="Q465" s="104"/>
      <c r="R465" s="104"/>
      <c r="S465" s="104"/>
      <c r="T465" s="104"/>
      <c r="U465" s="104"/>
      <c r="V465" s="104"/>
      <c r="W465" s="104"/>
      <c r="X465" s="104"/>
      <c r="Y465" s="101"/>
      <c r="Z465" s="104"/>
      <c r="AA465" s="104"/>
      <c r="AB465" s="104"/>
      <c r="AC465" s="104"/>
      <c r="AD465" s="101"/>
      <c r="AE465" s="105"/>
    </row>
    <row r="466" spans="1:31" x14ac:dyDescent="0.35">
      <c r="B466" s="106"/>
      <c r="C466" s="102" t="s">
        <v>12</v>
      </c>
      <c r="D466" s="98">
        <v>18.402000000000001</v>
      </c>
      <c r="E466" s="99">
        <v>3.85</v>
      </c>
      <c r="F466" s="100">
        <f>D466*E466</f>
        <v>70.847700000000003</v>
      </c>
    </row>
    <row r="467" spans="1:31" x14ac:dyDescent="0.35">
      <c r="B467" s="106"/>
      <c r="C467" s="102" t="s">
        <v>13</v>
      </c>
      <c r="D467" s="98">
        <v>16.039000000000001</v>
      </c>
      <c r="E467" s="99">
        <v>4.7</v>
      </c>
      <c r="F467" s="100">
        <f>D467*E467</f>
        <v>75.383300000000006</v>
      </c>
    </row>
    <row r="468" spans="1:31" x14ac:dyDescent="0.35">
      <c r="B468" s="106"/>
      <c r="C468" s="94" t="s">
        <v>491</v>
      </c>
      <c r="D468" s="95">
        <f>SUM(D464:D467)</f>
        <v>82.654000000000011</v>
      </c>
      <c r="E468" s="96"/>
      <c r="F468" s="97">
        <f>SUM(F464:F467)</f>
        <v>283.62065000000001</v>
      </c>
      <c r="I468" s="109"/>
      <c r="J468" s="109"/>
      <c r="K468" s="109"/>
      <c r="L468" s="109"/>
      <c r="M468" s="109"/>
      <c r="N468" s="109"/>
      <c r="O468" s="109"/>
      <c r="P468" s="107"/>
      <c r="Q468" s="109"/>
      <c r="R468" s="109"/>
      <c r="S468" s="109"/>
      <c r="T468" s="109"/>
      <c r="U468" s="109"/>
      <c r="V468" s="109"/>
      <c r="W468" s="109"/>
      <c r="X468" s="109"/>
      <c r="Y468" s="107"/>
      <c r="Z468" s="109"/>
      <c r="AA468" s="109"/>
      <c r="AB468" s="109"/>
      <c r="AC468" s="109"/>
      <c r="AD468" s="107"/>
      <c r="AE468" s="110"/>
    </row>
    <row r="469" spans="1:31" x14ac:dyDescent="0.35">
      <c r="B469" s="93"/>
      <c r="C469" s="102" t="s">
        <v>492</v>
      </c>
      <c r="D469" s="98">
        <f>D468-D467</f>
        <v>66.615000000000009</v>
      </c>
      <c r="E469" s="99"/>
      <c r="F469" s="100">
        <f>F468-F467</f>
        <v>208.23734999999999</v>
      </c>
      <c r="G469" s="97"/>
      <c r="H469" s="111"/>
      <c r="I469" s="111"/>
      <c r="J469" s="111"/>
      <c r="K469" s="111"/>
      <c r="L469" s="111"/>
      <c r="M469" s="111"/>
      <c r="N469" s="111"/>
      <c r="O469" s="111"/>
      <c r="P469" s="93"/>
      <c r="Q469" s="111"/>
      <c r="R469" s="111"/>
      <c r="S469" s="111"/>
      <c r="T469" s="111"/>
      <c r="U469" s="111"/>
      <c r="V469" s="111"/>
      <c r="W469" s="111"/>
      <c r="X469" s="111"/>
      <c r="Y469" s="93"/>
      <c r="Z469" s="111"/>
      <c r="AA469" s="111"/>
      <c r="AB469" s="111"/>
      <c r="AC469" s="111"/>
      <c r="AD469" s="93"/>
      <c r="AE469" s="112"/>
    </row>
    <row r="470" spans="1:31" x14ac:dyDescent="0.35">
      <c r="A470" s="22">
        <f>A464+1</f>
        <v>69</v>
      </c>
      <c r="B470" s="93" t="s">
        <v>587</v>
      </c>
      <c r="C470" s="94" t="s">
        <v>362</v>
      </c>
      <c r="D470" s="95">
        <v>33.75</v>
      </c>
      <c r="E470" s="96">
        <v>2.65</v>
      </c>
      <c r="F470" s="97">
        <f>D470*E470</f>
        <v>89.4375</v>
      </c>
      <c r="G470" s="97"/>
      <c r="H470" s="98">
        <f>D470</f>
        <v>33.75</v>
      </c>
      <c r="I470" s="99">
        <f>D471</f>
        <v>22.606000000000002</v>
      </c>
      <c r="J470" s="99">
        <f>D473</f>
        <v>15.343999999999999</v>
      </c>
      <c r="K470" s="99"/>
      <c r="L470" s="99"/>
      <c r="M470" s="99"/>
      <c r="N470" s="100"/>
      <c r="O470" s="100">
        <f>D474</f>
        <v>23.399000000000001</v>
      </c>
      <c r="P470" s="99"/>
      <c r="Q470" s="99">
        <f>E470</f>
        <v>2.65</v>
      </c>
      <c r="R470" s="99">
        <f>E471</f>
        <v>2.95</v>
      </c>
      <c r="S470" s="99">
        <f>E473</f>
        <v>3.95</v>
      </c>
      <c r="T470" s="99"/>
      <c r="U470" s="99"/>
      <c r="V470" s="99"/>
      <c r="W470" s="100"/>
      <c r="X470" s="100">
        <f>E474</f>
        <v>4.7</v>
      </c>
      <c r="Y470" s="99">
        <f>H470*Q470</f>
        <v>89.4375</v>
      </c>
      <c r="Z470" s="99">
        <f>I470*R470</f>
        <v>66.687700000000007</v>
      </c>
      <c r="AA470" s="99">
        <f>J470*S470</f>
        <v>60.608800000000002</v>
      </c>
      <c r="AB470" s="99"/>
      <c r="AC470" s="100">
        <f>O470*X470</f>
        <v>109.9753</v>
      </c>
      <c r="AD470" s="99">
        <f>Y470+Z470+AA470+AC470</f>
        <v>326.70929999999998</v>
      </c>
      <c r="AE470" s="99">
        <f>AD470-AC470</f>
        <v>216.73399999999998</v>
      </c>
    </row>
    <row r="471" spans="1:31" x14ac:dyDescent="0.35">
      <c r="B471" s="101"/>
      <c r="C471" s="102" t="s">
        <v>588</v>
      </c>
      <c r="D471" s="98">
        <v>22.606000000000002</v>
      </c>
      <c r="E471" s="99">
        <v>2.95</v>
      </c>
      <c r="F471" s="100">
        <f>D471*E471</f>
        <v>66.687700000000007</v>
      </c>
      <c r="G471" s="103"/>
      <c r="H471" s="104"/>
      <c r="I471" s="104"/>
      <c r="J471" s="104"/>
      <c r="K471" s="104"/>
      <c r="L471" s="104"/>
      <c r="M471" s="104"/>
      <c r="N471" s="104"/>
      <c r="O471" s="104"/>
      <c r="P471" s="101"/>
      <c r="Q471" s="104"/>
      <c r="R471" s="104"/>
      <c r="S471" s="104"/>
      <c r="T471" s="104"/>
      <c r="U471" s="104"/>
      <c r="V471" s="104"/>
      <c r="W471" s="104"/>
      <c r="X471" s="104"/>
      <c r="Y471" s="101"/>
      <c r="Z471" s="104"/>
      <c r="AA471" s="104"/>
      <c r="AB471" s="104"/>
      <c r="AC471" s="104"/>
      <c r="AD471" s="101"/>
      <c r="AE471" s="105"/>
    </row>
    <row r="472" spans="1:31" x14ac:dyDescent="0.35">
      <c r="B472" s="106"/>
      <c r="C472" s="102" t="s">
        <v>589</v>
      </c>
      <c r="D472" s="98">
        <v>22.606000000000002</v>
      </c>
      <c r="E472" s="99">
        <v>3.35</v>
      </c>
      <c r="F472" s="100">
        <f>D472*E472</f>
        <v>75.730100000000007</v>
      </c>
    </row>
    <row r="473" spans="1:31" x14ac:dyDescent="0.35">
      <c r="B473" s="106"/>
      <c r="C473" s="102" t="s">
        <v>12</v>
      </c>
      <c r="D473" s="98">
        <v>15.343999999999999</v>
      </c>
      <c r="E473" s="99">
        <v>3.95</v>
      </c>
      <c r="F473" s="100">
        <f>D473*E473</f>
        <v>60.608800000000002</v>
      </c>
    </row>
    <row r="474" spans="1:31" x14ac:dyDescent="0.35">
      <c r="B474" s="106"/>
      <c r="C474" s="102" t="s">
        <v>13</v>
      </c>
      <c r="D474" s="98">
        <v>23.399000000000001</v>
      </c>
      <c r="E474" s="99">
        <v>4.7</v>
      </c>
      <c r="F474" s="100">
        <f>D474*E474</f>
        <v>109.9753</v>
      </c>
    </row>
    <row r="475" spans="1:31" x14ac:dyDescent="0.35">
      <c r="B475" s="106"/>
      <c r="C475" s="94" t="s">
        <v>491</v>
      </c>
      <c r="D475" s="95">
        <f>SUM(D470:D474)</f>
        <v>117.705</v>
      </c>
      <c r="E475" s="96"/>
      <c r="F475" s="97">
        <f>SUM(F470:F474)</f>
        <v>402.43940000000003</v>
      </c>
      <c r="I475" s="109"/>
      <c r="J475" s="109"/>
      <c r="K475" s="109"/>
      <c r="L475" s="109"/>
      <c r="M475" s="109"/>
      <c r="N475" s="109"/>
      <c r="O475" s="109"/>
      <c r="P475" s="107"/>
      <c r="Q475" s="109"/>
      <c r="R475" s="109"/>
      <c r="S475" s="109"/>
      <c r="T475" s="109"/>
      <c r="U475" s="109"/>
      <c r="V475" s="109"/>
      <c r="W475" s="109"/>
      <c r="X475" s="109"/>
      <c r="Y475" s="107"/>
      <c r="Z475" s="109"/>
      <c r="AA475" s="109"/>
      <c r="AB475" s="109"/>
      <c r="AC475" s="109"/>
      <c r="AD475" s="107"/>
      <c r="AE475" s="110"/>
    </row>
    <row r="476" spans="1:31" x14ac:dyDescent="0.35">
      <c r="B476" s="93"/>
      <c r="C476" s="102" t="s">
        <v>492</v>
      </c>
      <c r="D476" s="98">
        <f>D475-D474</f>
        <v>94.305999999999997</v>
      </c>
      <c r="E476" s="99"/>
      <c r="F476" s="100">
        <f>F475-F474</f>
        <v>292.46410000000003</v>
      </c>
      <c r="G476" s="97"/>
      <c r="H476" s="111"/>
      <c r="I476" s="111"/>
      <c r="J476" s="111"/>
      <c r="K476" s="111"/>
      <c r="L476" s="111"/>
      <c r="M476" s="111"/>
      <c r="N476" s="111"/>
      <c r="O476" s="111"/>
      <c r="P476" s="93"/>
      <c r="Q476" s="111"/>
      <c r="R476" s="111"/>
      <c r="S476" s="111"/>
      <c r="T476" s="111"/>
      <c r="U476" s="111"/>
      <c r="V476" s="111"/>
      <c r="W476" s="111"/>
      <c r="X476" s="111"/>
      <c r="Y476" s="93"/>
      <c r="Z476" s="111"/>
      <c r="AA476" s="111"/>
      <c r="AB476" s="111"/>
      <c r="AC476" s="111"/>
      <c r="AD476" s="93"/>
      <c r="AE476" s="112"/>
    </row>
    <row r="477" spans="1:31" x14ac:dyDescent="0.35">
      <c r="A477" s="22">
        <f>A470+1</f>
        <v>70</v>
      </c>
      <c r="B477" s="93" t="s">
        <v>590</v>
      </c>
      <c r="C477" s="94" t="s">
        <v>362</v>
      </c>
      <c r="D477" s="95">
        <v>50.404000000000003</v>
      </c>
      <c r="E477" s="96">
        <v>2.65</v>
      </c>
      <c r="F477" s="97">
        <f>D477*E477</f>
        <v>133.57060000000001</v>
      </c>
      <c r="G477" s="97"/>
      <c r="H477" s="98">
        <f>D477</f>
        <v>50.404000000000003</v>
      </c>
      <c r="I477" s="99">
        <f>D478</f>
        <v>26.404</v>
      </c>
      <c r="J477" s="99">
        <f>D480</f>
        <v>19.041</v>
      </c>
      <c r="K477" s="99"/>
      <c r="L477" s="99"/>
      <c r="M477" s="99"/>
      <c r="N477" s="100"/>
      <c r="O477" s="100">
        <f>D481</f>
        <v>23.399000000000001</v>
      </c>
      <c r="P477" s="99"/>
      <c r="Q477" s="99">
        <f>E477</f>
        <v>2.65</v>
      </c>
      <c r="R477" s="99">
        <f>E478</f>
        <v>2.95</v>
      </c>
      <c r="S477" s="99">
        <f>E480</f>
        <v>3.9</v>
      </c>
      <c r="T477" s="99"/>
      <c r="U477" s="99"/>
      <c r="V477" s="99"/>
      <c r="W477" s="100"/>
      <c r="X477" s="100">
        <f>E481</f>
        <v>4.7</v>
      </c>
      <c r="Y477" s="99">
        <f>H477*Q477</f>
        <v>133.57060000000001</v>
      </c>
      <c r="Z477" s="99">
        <f>I477*R477</f>
        <v>77.891800000000003</v>
      </c>
      <c r="AA477" s="99">
        <f>J477*S477</f>
        <v>74.259900000000002</v>
      </c>
      <c r="AB477" s="99"/>
      <c r="AC477" s="100">
        <f>O477*X477</f>
        <v>109.9753</v>
      </c>
      <c r="AD477" s="99">
        <f>Y477+Z477+AA477+AC477</f>
        <v>395.69760000000002</v>
      </c>
      <c r="AE477" s="99">
        <f>AD477-AC477</f>
        <v>285.72230000000002</v>
      </c>
    </row>
    <row r="478" spans="1:31" x14ac:dyDescent="0.35">
      <c r="B478" s="101"/>
      <c r="C478" s="102" t="s">
        <v>588</v>
      </c>
      <c r="D478" s="98">
        <v>26.404</v>
      </c>
      <c r="E478" s="99">
        <v>2.95</v>
      </c>
      <c r="F478" s="100">
        <f>D478*E478</f>
        <v>77.891800000000003</v>
      </c>
      <c r="G478" s="103"/>
      <c r="H478" s="104"/>
      <c r="I478" s="104"/>
      <c r="J478" s="104"/>
      <c r="K478" s="104"/>
      <c r="L478" s="104"/>
      <c r="M478" s="104"/>
      <c r="N478" s="104"/>
      <c r="O478" s="104"/>
      <c r="P478" s="101"/>
      <c r="Q478" s="104"/>
      <c r="R478" s="104"/>
      <c r="S478" s="104"/>
      <c r="T478" s="104"/>
      <c r="U478" s="104"/>
      <c r="V478" s="104"/>
      <c r="W478" s="104"/>
      <c r="X478" s="104"/>
      <c r="Y478" s="101"/>
      <c r="Z478" s="104"/>
      <c r="AA478" s="104"/>
      <c r="AB478" s="104"/>
      <c r="AC478" s="104"/>
      <c r="AD478" s="101"/>
      <c r="AE478" s="105"/>
    </row>
    <row r="479" spans="1:31" x14ac:dyDescent="0.35">
      <c r="B479" s="106"/>
      <c r="C479" s="102" t="s">
        <v>589</v>
      </c>
      <c r="D479" s="98">
        <v>26.404</v>
      </c>
      <c r="E479" s="99">
        <v>3.3000000000000003</v>
      </c>
      <c r="F479" s="100">
        <f>D479*E479</f>
        <v>87.133200000000002</v>
      </c>
    </row>
    <row r="480" spans="1:31" x14ac:dyDescent="0.35">
      <c r="B480" s="106"/>
      <c r="C480" s="102" t="s">
        <v>12</v>
      </c>
      <c r="D480" s="98">
        <v>19.041</v>
      </c>
      <c r="E480" s="99">
        <v>3.9</v>
      </c>
      <c r="F480" s="100">
        <f>D480*E480</f>
        <v>74.259900000000002</v>
      </c>
    </row>
    <row r="481" spans="1:31" x14ac:dyDescent="0.35">
      <c r="B481" s="106"/>
      <c r="C481" s="102" t="s">
        <v>13</v>
      </c>
      <c r="D481" s="98">
        <v>23.399000000000001</v>
      </c>
      <c r="E481" s="99">
        <v>4.7</v>
      </c>
      <c r="F481" s="100">
        <f>D481*E481</f>
        <v>109.9753</v>
      </c>
    </row>
    <row r="482" spans="1:31" x14ac:dyDescent="0.35">
      <c r="B482" s="106"/>
      <c r="C482" s="94" t="s">
        <v>491</v>
      </c>
      <c r="D482" s="95">
        <f>SUM(D477:D481)</f>
        <v>145.65199999999999</v>
      </c>
      <c r="E482" s="96"/>
      <c r="F482" s="97">
        <f>SUM(F477:F481)</f>
        <v>482.83080000000001</v>
      </c>
      <c r="I482" s="109"/>
      <c r="J482" s="109"/>
      <c r="K482" s="109"/>
      <c r="L482" s="109"/>
      <c r="M482" s="109"/>
      <c r="N482" s="109"/>
      <c r="O482" s="109"/>
      <c r="P482" s="107"/>
      <c r="Q482" s="109"/>
      <c r="R482" s="109"/>
      <c r="S482" s="109"/>
      <c r="T482" s="109"/>
      <c r="U482" s="109"/>
      <c r="V482" s="109"/>
      <c r="W482" s="109"/>
      <c r="X482" s="109"/>
      <c r="Y482" s="107"/>
      <c r="Z482" s="109"/>
      <c r="AA482" s="109"/>
      <c r="AB482" s="109"/>
      <c r="AC482" s="109"/>
      <c r="AD482" s="107"/>
      <c r="AE482" s="110"/>
    </row>
    <row r="483" spans="1:31" x14ac:dyDescent="0.35">
      <c r="B483" s="93"/>
      <c r="C483" s="102" t="s">
        <v>492</v>
      </c>
      <c r="D483" s="98">
        <f>D482-D481</f>
        <v>122.25299999999999</v>
      </c>
      <c r="E483" s="99"/>
      <c r="F483" s="100">
        <f>F482-F481</f>
        <v>372.85550000000001</v>
      </c>
      <c r="G483" s="97"/>
      <c r="H483" s="111"/>
      <c r="I483" s="111"/>
      <c r="J483" s="111"/>
      <c r="K483" s="111"/>
      <c r="L483" s="111"/>
      <c r="M483" s="111"/>
      <c r="N483" s="111"/>
      <c r="O483" s="111"/>
      <c r="P483" s="93"/>
      <c r="Q483" s="111"/>
      <c r="R483" s="111"/>
      <c r="S483" s="111"/>
      <c r="T483" s="111"/>
      <c r="U483" s="111"/>
      <c r="V483" s="111"/>
      <c r="W483" s="111"/>
      <c r="X483" s="111"/>
      <c r="Y483" s="93"/>
      <c r="Z483" s="111"/>
      <c r="AA483" s="111"/>
      <c r="AB483" s="111"/>
      <c r="AC483" s="111"/>
      <c r="AD483" s="93"/>
      <c r="AE483" s="112"/>
    </row>
    <row r="484" spans="1:31" x14ac:dyDescent="0.35">
      <c r="A484" s="22">
        <f>A477+1</f>
        <v>71</v>
      </c>
      <c r="B484" s="106" t="s">
        <v>591</v>
      </c>
      <c r="C484" s="94" t="s">
        <v>362</v>
      </c>
      <c r="D484" s="95">
        <v>56.363999999999997</v>
      </c>
      <c r="E484" s="96">
        <v>2.5</v>
      </c>
      <c r="F484" s="97">
        <f>D484*E484</f>
        <v>140.91</v>
      </c>
      <c r="G484" s="97"/>
      <c r="H484" s="98">
        <f>D484</f>
        <v>56.363999999999997</v>
      </c>
      <c r="I484" s="99">
        <f>D485</f>
        <v>37.198999999999998</v>
      </c>
      <c r="J484" s="99">
        <f>D487</f>
        <v>24.184000000000001</v>
      </c>
      <c r="K484" s="99"/>
      <c r="L484" s="99"/>
      <c r="M484" s="99"/>
      <c r="N484" s="100"/>
      <c r="O484" s="100">
        <f>D488</f>
        <v>33</v>
      </c>
      <c r="P484" s="99"/>
      <c r="Q484" s="99">
        <f>E484</f>
        <v>2.5</v>
      </c>
      <c r="R484" s="99">
        <f>E485</f>
        <v>3</v>
      </c>
      <c r="S484" s="99">
        <f>E487</f>
        <v>3.9</v>
      </c>
      <c r="T484" s="99"/>
      <c r="U484" s="99"/>
      <c r="V484" s="99"/>
      <c r="W484" s="100"/>
      <c r="X484" s="100">
        <f>E488</f>
        <v>4.7</v>
      </c>
      <c r="Y484" s="99">
        <f>H484*Q484</f>
        <v>140.91</v>
      </c>
      <c r="Z484" s="99">
        <f>I484*R484</f>
        <v>111.59699999999999</v>
      </c>
      <c r="AA484" s="99">
        <f>J484*S484</f>
        <v>94.317599999999999</v>
      </c>
      <c r="AB484" s="99"/>
      <c r="AC484" s="100">
        <f>O484*X484</f>
        <v>155.1</v>
      </c>
      <c r="AD484" s="99">
        <f>Y484+Z484+AA484+AC484</f>
        <v>501.92460000000005</v>
      </c>
      <c r="AE484" s="99">
        <f>AD484-AC484</f>
        <v>346.82460000000003</v>
      </c>
    </row>
    <row r="485" spans="1:31" x14ac:dyDescent="0.35">
      <c r="B485" s="101"/>
      <c r="C485" s="102" t="s">
        <v>588</v>
      </c>
      <c r="D485" s="98">
        <v>37.198999999999998</v>
      </c>
      <c r="E485" s="99">
        <v>3</v>
      </c>
      <c r="F485" s="100">
        <f>D485*E485</f>
        <v>111.59699999999999</v>
      </c>
      <c r="G485" s="103"/>
      <c r="H485" s="104"/>
      <c r="I485" s="104"/>
      <c r="J485" s="104"/>
      <c r="K485" s="104"/>
      <c r="L485" s="104"/>
      <c r="M485" s="104"/>
      <c r="N485" s="104"/>
      <c r="O485" s="104"/>
      <c r="P485" s="101"/>
      <c r="Q485" s="104"/>
      <c r="R485" s="104"/>
      <c r="S485" s="104"/>
      <c r="T485" s="104"/>
      <c r="U485" s="104"/>
      <c r="V485" s="104"/>
      <c r="W485" s="104"/>
      <c r="X485" s="104"/>
      <c r="Y485" s="101"/>
      <c r="Z485" s="104"/>
      <c r="AA485" s="104"/>
      <c r="AB485" s="104"/>
      <c r="AC485" s="104"/>
      <c r="AD485" s="101"/>
      <c r="AE485" s="105"/>
    </row>
    <row r="486" spans="1:31" x14ac:dyDescent="0.35">
      <c r="A486" s="108"/>
      <c r="C486" s="102" t="s">
        <v>589</v>
      </c>
      <c r="D486" s="98">
        <v>36.518999999999998</v>
      </c>
      <c r="E486" s="99">
        <v>3.3000000000000003</v>
      </c>
      <c r="F486" s="100">
        <f>D486*E486</f>
        <v>120.51270000000001</v>
      </c>
    </row>
    <row r="487" spans="1:31" x14ac:dyDescent="0.35">
      <c r="B487" s="106"/>
      <c r="C487" s="102" t="s">
        <v>12</v>
      </c>
      <c r="D487" s="98">
        <v>24.184000000000001</v>
      </c>
      <c r="E487" s="99">
        <v>3.9</v>
      </c>
      <c r="F487" s="100">
        <f>D487*E487</f>
        <v>94.317599999999999</v>
      </c>
    </row>
    <row r="488" spans="1:31" x14ac:dyDescent="0.35">
      <c r="B488" s="106"/>
      <c r="C488" s="102" t="s">
        <v>13</v>
      </c>
      <c r="D488" s="98">
        <v>33</v>
      </c>
      <c r="E488" s="99">
        <v>4.7</v>
      </c>
      <c r="F488" s="100">
        <f>D488*E488</f>
        <v>155.1</v>
      </c>
    </row>
    <row r="489" spans="1:31" x14ac:dyDescent="0.35">
      <c r="B489" s="106"/>
      <c r="C489" s="94" t="s">
        <v>491</v>
      </c>
      <c r="D489" s="95">
        <f>SUM(D484:D488)</f>
        <v>187.26599999999999</v>
      </c>
      <c r="E489" s="96"/>
      <c r="F489" s="97">
        <f>SUM(F484:F488)</f>
        <v>622.43730000000005</v>
      </c>
      <c r="I489" s="109"/>
      <c r="J489" s="109"/>
      <c r="K489" s="109"/>
      <c r="L489" s="109"/>
      <c r="M489" s="109"/>
      <c r="N489" s="109"/>
      <c r="O489" s="109"/>
      <c r="P489" s="107"/>
      <c r="Q489" s="109"/>
      <c r="R489" s="109"/>
      <c r="S489" s="109"/>
      <c r="T489" s="109"/>
      <c r="U489" s="109"/>
      <c r="V489" s="109"/>
      <c r="W489" s="109"/>
      <c r="X489" s="109"/>
      <c r="Y489" s="107"/>
      <c r="Z489" s="109"/>
      <c r="AA489" s="109"/>
      <c r="AB489" s="109"/>
      <c r="AC489" s="109"/>
      <c r="AD489" s="107"/>
      <c r="AE489" s="110"/>
    </row>
    <row r="490" spans="1:31" x14ac:dyDescent="0.35">
      <c r="B490" s="93"/>
      <c r="C490" s="102" t="s">
        <v>492</v>
      </c>
      <c r="D490" s="98">
        <f>D489-D488</f>
        <v>154.26599999999999</v>
      </c>
      <c r="E490" s="99"/>
      <c r="F490" s="100">
        <f>F489-F488</f>
        <v>467.33730000000003</v>
      </c>
      <c r="G490" s="97"/>
      <c r="H490" s="111"/>
      <c r="I490" s="111"/>
      <c r="J490" s="111"/>
      <c r="K490" s="111"/>
      <c r="L490" s="111"/>
      <c r="M490" s="111"/>
      <c r="N490" s="111"/>
      <c r="O490" s="111"/>
      <c r="P490" s="93"/>
      <c r="Q490" s="111"/>
      <c r="R490" s="111"/>
      <c r="S490" s="111"/>
      <c r="T490" s="111"/>
      <c r="U490" s="111"/>
      <c r="V490" s="111"/>
      <c r="W490" s="111"/>
      <c r="X490" s="111"/>
      <c r="Y490" s="93"/>
      <c r="Z490" s="111"/>
      <c r="AA490" s="111"/>
      <c r="AB490" s="111"/>
      <c r="AC490" s="111"/>
      <c r="AD490" s="93"/>
      <c r="AE490" s="112"/>
    </row>
    <row r="491" spans="1:31" x14ac:dyDescent="0.35">
      <c r="A491" s="22">
        <f>A484+1</f>
        <v>72</v>
      </c>
      <c r="B491" s="93" t="s">
        <v>592</v>
      </c>
      <c r="C491" s="94" t="s">
        <v>558</v>
      </c>
      <c r="D491" s="95">
        <v>16.039000000000001</v>
      </c>
      <c r="E491" s="96">
        <v>4.7</v>
      </c>
      <c r="F491" s="97">
        <f t="shared" ref="F491:F497" si="12">D491*E491</f>
        <v>75.383300000000006</v>
      </c>
      <c r="G491" s="97">
        <f>D491</f>
        <v>16.039000000000001</v>
      </c>
      <c r="H491" s="98"/>
      <c r="I491" s="99">
        <f>D493</f>
        <v>10.425000000000001</v>
      </c>
      <c r="J491" s="99">
        <f>D492</f>
        <v>12.290000000000001</v>
      </c>
      <c r="K491" s="99">
        <f>D494</f>
        <v>19.347999999999999</v>
      </c>
      <c r="L491" s="99">
        <f>D496</f>
        <v>12.290000000000001</v>
      </c>
      <c r="M491" s="99">
        <f>D495</f>
        <v>10.425000000000001</v>
      </c>
      <c r="N491" s="100"/>
      <c r="O491" s="100">
        <f>D497</f>
        <v>16.039000000000001</v>
      </c>
      <c r="P491" s="99">
        <f>E491</f>
        <v>4.7</v>
      </c>
      <c r="Q491" s="99"/>
      <c r="R491" s="99">
        <f>E493</f>
        <v>3.25</v>
      </c>
      <c r="S491" s="99">
        <f>E492</f>
        <v>3.85</v>
      </c>
      <c r="T491" s="99">
        <f>E494</f>
        <v>2.8000000000000003</v>
      </c>
      <c r="U491" s="99">
        <f>E496</f>
        <v>3.85</v>
      </c>
      <c r="V491" s="99">
        <f>E495</f>
        <v>3.25</v>
      </c>
      <c r="W491" s="100"/>
      <c r="X491" s="100">
        <f>E497</f>
        <v>4.7</v>
      </c>
      <c r="Y491" s="99"/>
      <c r="Z491" s="99">
        <f>I491*R491+M491*V491</f>
        <v>67.762500000000003</v>
      </c>
      <c r="AA491" s="99">
        <f>J491*S491+L491*U491</f>
        <v>94.63300000000001</v>
      </c>
      <c r="AB491" s="99">
        <f>K491*T491</f>
        <v>54.174400000000006</v>
      </c>
      <c r="AC491" s="100">
        <f>O491*X491+G491*P491</f>
        <v>150.76660000000001</v>
      </c>
      <c r="AD491" s="99">
        <f>Y491+Z491+AA491+AB491+AC491</f>
        <v>367.3365</v>
      </c>
      <c r="AE491" s="99">
        <f>AD491-AC491</f>
        <v>216.56989999999999</v>
      </c>
    </row>
    <row r="492" spans="1:31" x14ac:dyDescent="0.35">
      <c r="B492" s="101"/>
      <c r="C492" s="102" t="s">
        <v>559</v>
      </c>
      <c r="D492" s="98">
        <v>12.290000000000001</v>
      </c>
      <c r="E492" s="99">
        <v>3.85</v>
      </c>
      <c r="F492" s="100">
        <f t="shared" si="12"/>
        <v>47.316500000000005</v>
      </c>
      <c r="G492" s="103"/>
      <c r="H492" s="104"/>
      <c r="I492" s="104"/>
      <c r="J492" s="104"/>
      <c r="K492" s="104"/>
      <c r="L492" s="104"/>
      <c r="M492" s="104"/>
      <c r="N492" s="104"/>
      <c r="O492" s="104"/>
      <c r="P492" s="101"/>
      <c r="Q492" s="104"/>
      <c r="R492" s="104"/>
      <c r="S492" s="104"/>
      <c r="T492" s="104"/>
      <c r="U492" s="104"/>
      <c r="V492" s="104"/>
      <c r="W492" s="104"/>
      <c r="X492" s="104"/>
      <c r="Y492" s="101"/>
      <c r="Z492" s="104"/>
      <c r="AA492" s="104"/>
      <c r="AB492" s="104"/>
      <c r="AC492" s="104"/>
      <c r="AD492" s="101"/>
      <c r="AE492" s="105"/>
    </row>
    <row r="493" spans="1:31" x14ac:dyDescent="0.35">
      <c r="B493" s="106"/>
      <c r="C493" s="102" t="s">
        <v>503</v>
      </c>
      <c r="D493" s="98">
        <v>10.425000000000001</v>
      </c>
      <c r="E493" s="99">
        <v>3.25</v>
      </c>
      <c r="F493" s="100">
        <f t="shared" si="12"/>
        <v>33.881250000000001</v>
      </c>
    </row>
    <row r="494" spans="1:31" x14ac:dyDescent="0.35">
      <c r="B494" s="106"/>
      <c r="C494" s="102" t="s">
        <v>504</v>
      </c>
      <c r="D494" s="98">
        <v>19.347999999999999</v>
      </c>
      <c r="E494" s="99">
        <v>2.8000000000000003</v>
      </c>
      <c r="F494" s="100">
        <f t="shared" si="12"/>
        <v>54.174400000000006</v>
      </c>
    </row>
    <row r="495" spans="1:31" x14ac:dyDescent="0.35">
      <c r="B495" s="106"/>
      <c r="C495" s="102" t="s">
        <v>503</v>
      </c>
      <c r="D495" s="98">
        <v>10.425000000000001</v>
      </c>
      <c r="E495" s="99">
        <v>3.25</v>
      </c>
      <c r="F495" s="100">
        <f t="shared" si="12"/>
        <v>33.881250000000001</v>
      </c>
    </row>
    <row r="496" spans="1:31" x14ac:dyDescent="0.35">
      <c r="B496" s="106"/>
      <c r="C496" s="102" t="s">
        <v>12</v>
      </c>
      <c r="D496" s="98">
        <v>12.290000000000001</v>
      </c>
      <c r="E496" s="99">
        <v>3.85</v>
      </c>
      <c r="F496" s="100">
        <f t="shared" si="12"/>
        <v>47.316500000000005</v>
      </c>
    </row>
    <row r="497" spans="1:31" x14ac:dyDescent="0.35">
      <c r="B497" s="106"/>
      <c r="C497" s="102" t="s">
        <v>558</v>
      </c>
      <c r="D497" s="95">
        <v>16.039000000000001</v>
      </c>
      <c r="E497" s="96">
        <v>4.7</v>
      </c>
      <c r="F497" s="97">
        <f t="shared" si="12"/>
        <v>75.383300000000006</v>
      </c>
    </row>
    <row r="498" spans="1:31" x14ac:dyDescent="0.35">
      <c r="B498" s="106"/>
      <c r="C498" s="94" t="s">
        <v>491</v>
      </c>
      <c r="D498" s="95">
        <f>SUM(D491:D497)</f>
        <v>96.856000000000009</v>
      </c>
      <c r="E498" s="96"/>
      <c r="F498" s="97">
        <f>SUM(F491:F497)</f>
        <v>367.3365</v>
      </c>
      <c r="I498" s="109"/>
      <c r="J498" s="109"/>
      <c r="K498" s="109"/>
      <c r="L498" s="109"/>
      <c r="M498" s="109"/>
      <c r="N498" s="109"/>
      <c r="O498" s="109"/>
      <c r="P498" s="107"/>
      <c r="Q498" s="109"/>
      <c r="R498" s="109"/>
      <c r="S498" s="109"/>
      <c r="T498" s="109"/>
      <c r="U498" s="109"/>
      <c r="V498" s="109"/>
      <c r="W498" s="109"/>
      <c r="X498" s="109"/>
      <c r="Y498" s="107"/>
      <c r="Z498" s="109"/>
      <c r="AA498" s="109"/>
      <c r="AB498" s="109"/>
      <c r="AC498" s="109"/>
      <c r="AD498" s="107"/>
      <c r="AE498" s="110"/>
    </row>
    <row r="499" spans="1:31" x14ac:dyDescent="0.35">
      <c r="B499" s="93"/>
      <c r="C499" s="102" t="s">
        <v>492</v>
      </c>
      <c r="D499" s="98">
        <f>D498-D497</f>
        <v>80.817000000000007</v>
      </c>
      <c r="E499" s="99"/>
      <c r="F499" s="100">
        <f>F498-F497-F491</f>
        <v>216.56989999999996</v>
      </c>
      <c r="G499" s="97"/>
      <c r="H499" s="111"/>
      <c r="I499" s="111"/>
      <c r="J499" s="111"/>
      <c r="K499" s="111"/>
      <c r="L499" s="111"/>
      <c r="M499" s="111"/>
      <c r="N499" s="111"/>
      <c r="O499" s="111"/>
      <c r="P499" s="93"/>
      <c r="Q499" s="111"/>
      <c r="R499" s="111"/>
      <c r="S499" s="111"/>
      <c r="T499" s="111"/>
      <c r="U499" s="111"/>
      <c r="V499" s="111"/>
      <c r="W499" s="111"/>
      <c r="X499" s="111"/>
      <c r="Y499" s="93"/>
      <c r="Z499" s="111"/>
      <c r="AA499" s="111"/>
      <c r="AB499" s="111"/>
      <c r="AC499" s="111"/>
      <c r="AD499" s="93"/>
      <c r="AE499" s="112"/>
    </row>
    <row r="500" spans="1:31" x14ac:dyDescent="0.35">
      <c r="A500" s="22">
        <f>A491+1</f>
        <v>73</v>
      </c>
      <c r="B500" s="93" t="s">
        <v>593</v>
      </c>
      <c r="C500" s="94" t="s">
        <v>506</v>
      </c>
      <c r="D500" s="95">
        <v>12.499000000000001</v>
      </c>
      <c r="E500" s="96">
        <v>4.8</v>
      </c>
      <c r="F500" s="97">
        <f>D500*E500</f>
        <v>59.995199999999997</v>
      </c>
      <c r="G500" s="97">
        <f>D500</f>
        <v>12.499000000000001</v>
      </c>
      <c r="H500" s="98"/>
      <c r="I500" s="99"/>
      <c r="J500" s="99">
        <f>D501</f>
        <v>14.471</v>
      </c>
      <c r="K500" s="99">
        <f>D502</f>
        <v>19.623000000000001</v>
      </c>
      <c r="L500" s="99">
        <f>D503</f>
        <v>10.365</v>
      </c>
      <c r="M500" s="99"/>
      <c r="N500" s="100"/>
      <c r="O500" s="100">
        <f>D504</f>
        <v>7.0620000000000003</v>
      </c>
      <c r="P500" s="99">
        <f>E500</f>
        <v>4.8</v>
      </c>
      <c r="Q500" s="99"/>
      <c r="R500" s="99"/>
      <c r="S500" s="99">
        <f>E501</f>
        <v>3.85</v>
      </c>
      <c r="T500" s="99">
        <f>E502</f>
        <v>3</v>
      </c>
      <c r="U500" s="99">
        <f>E503</f>
        <v>3.9</v>
      </c>
      <c r="V500" s="99"/>
      <c r="W500" s="100"/>
      <c r="X500" s="100">
        <f>E504</f>
        <v>4.8</v>
      </c>
      <c r="Y500" s="99"/>
      <c r="Z500" s="99"/>
      <c r="AA500" s="99">
        <f>J500*S500+L500*U500</f>
        <v>96.136849999999995</v>
      </c>
      <c r="AB500" s="99">
        <f>K500*T500</f>
        <v>58.869</v>
      </c>
      <c r="AC500" s="100">
        <f>O500*X500+G500*P500</f>
        <v>93.892799999999994</v>
      </c>
      <c r="AD500" s="99">
        <f>Y500+Z500+AA500+AB500+AC500</f>
        <v>248.89865</v>
      </c>
      <c r="AE500" s="99">
        <f>AD500-AC500</f>
        <v>155.00585000000001</v>
      </c>
    </row>
    <row r="501" spans="1:31" x14ac:dyDescent="0.35">
      <c r="B501" s="101"/>
      <c r="C501" s="102" t="s">
        <v>594</v>
      </c>
      <c r="D501" s="98">
        <v>14.471</v>
      </c>
      <c r="E501" s="99">
        <v>3.85</v>
      </c>
      <c r="F501" s="100">
        <f>D501*E501</f>
        <v>55.713349999999998</v>
      </c>
      <c r="G501" s="103"/>
      <c r="H501" s="104"/>
      <c r="I501" s="104"/>
      <c r="J501" s="104"/>
      <c r="K501" s="104"/>
      <c r="L501" s="104"/>
      <c r="M501" s="104"/>
      <c r="N501" s="104"/>
      <c r="O501" s="104"/>
      <c r="P501" s="101"/>
      <c r="Q501" s="104"/>
      <c r="R501" s="104"/>
      <c r="S501" s="104"/>
      <c r="T501" s="104"/>
      <c r="U501" s="104"/>
      <c r="V501" s="104"/>
      <c r="W501" s="104"/>
      <c r="X501" s="104"/>
      <c r="Y501" s="101"/>
      <c r="Z501" s="104"/>
      <c r="AA501" s="104"/>
      <c r="AB501" s="104"/>
      <c r="AC501" s="104"/>
      <c r="AD501" s="101"/>
      <c r="AE501" s="105"/>
    </row>
    <row r="502" spans="1:31" x14ac:dyDescent="0.35">
      <c r="B502" s="106"/>
      <c r="C502" s="102" t="s">
        <v>504</v>
      </c>
      <c r="D502" s="98">
        <v>19.623000000000001</v>
      </c>
      <c r="E502" s="99">
        <v>3</v>
      </c>
      <c r="F502" s="100">
        <f>D502*E502</f>
        <v>58.869</v>
      </c>
    </row>
    <row r="503" spans="1:31" x14ac:dyDescent="0.35">
      <c r="B503" s="106"/>
      <c r="C503" s="102" t="s">
        <v>508</v>
      </c>
      <c r="D503" s="98">
        <v>10.365</v>
      </c>
      <c r="E503" s="99">
        <v>3.9</v>
      </c>
      <c r="F503" s="100">
        <f>D503*E503</f>
        <v>40.423499999999997</v>
      </c>
    </row>
    <row r="504" spans="1:31" x14ac:dyDescent="0.35">
      <c r="B504" s="106"/>
      <c r="C504" s="102" t="s">
        <v>509</v>
      </c>
      <c r="D504" s="98">
        <v>7.0620000000000003</v>
      </c>
      <c r="E504" s="99">
        <v>4.8</v>
      </c>
      <c r="F504" s="100">
        <f>D504*E504</f>
        <v>33.897599999999997</v>
      </c>
    </row>
    <row r="505" spans="1:31" x14ac:dyDescent="0.35">
      <c r="B505" s="106"/>
      <c r="C505" s="94" t="s">
        <v>491</v>
      </c>
      <c r="D505" s="95">
        <f>SUM(D500:D504)</f>
        <v>64.02000000000001</v>
      </c>
      <c r="E505" s="96"/>
      <c r="F505" s="97">
        <f>SUM(F500:F504)</f>
        <v>248.89864999999998</v>
      </c>
      <c r="I505" s="109"/>
      <c r="J505" s="109"/>
      <c r="K505" s="109"/>
      <c r="L505" s="109"/>
      <c r="M505" s="109"/>
      <c r="N505" s="109"/>
      <c r="O505" s="109"/>
      <c r="P505" s="107"/>
      <c r="Q505" s="109"/>
      <c r="R505" s="109"/>
      <c r="S505" s="109"/>
      <c r="T505" s="109"/>
      <c r="U505" s="109"/>
      <c r="V505" s="109"/>
      <c r="W505" s="109"/>
      <c r="X505" s="109"/>
      <c r="Y505" s="107"/>
      <c r="Z505" s="109"/>
      <c r="AA505" s="109"/>
      <c r="AB505" s="109"/>
      <c r="AC505" s="109"/>
      <c r="AD505" s="107"/>
      <c r="AE505" s="110"/>
    </row>
    <row r="506" spans="1:31" x14ac:dyDescent="0.35">
      <c r="B506" s="93"/>
      <c r="C506" s="102" t="s">
        <v>492</v>
      </c>
      <c r="D506" s="98">
        <f>D505-D504</f>
        <v>56.958000000000013</v>
      </c>
      <c r="E506" s="99"/>
      <c r="F506" s="100">
        <f>F505-F504-F500</f>
        <v>155.00584999999995</v>
      </c>
      <c r="G506" s="97"/>
      <c r="H506" s="111"/>
      <c r="I506" s="111"/>
      <c r="J506" s="111"/>
      <c r="K506" s="111"/>
      <c r="L506" s="111"/>
      <c r="M506" s="111"/>
      <c r="N506" s="111"/>
      <c r="O506" s="111"/>
      <c r="P506" s="93"/>
      <c r="Q506" s="111"/>
      <c r="R506" s="111"/>
      <c r="S506" s="111"/>
      <c r="T506" s="111"/>
      <c r="U506" s="111"/>
      <c r="V506" s="111"/>
      <c r="W506" s="111"/>
      <c r="X506" s="111"/>
      <c r="Y506" s="93"/>
      <c r="Z506" s="111"/>
      <c r="AA506" s="111"/>
      <c r="AB506" s="111"/>
      <c r="AC506" s="111"/>
      <c r="AD506" s="93"/>
      <c r="AE506" s="112"/>
    </row>
    <row r="507" spans="1:31" x14ac:dyDescent="0.35">
      <c r="A507" s="22">
        <f>A500+1</f>
        <v>74</v>
      </c>
      <c r="B507" s="93" t="s">
        <v>595</v>
      </c>
      <c r="C507" s="94" t="s">
        <v>558</v>
      </c>
      <c r="D507" s="95">
        <v>9.4749999999999996</v>
      </c>
      <c r="E507" s="96">
        <v>4.7</v>
      </c>
      <c r="F507" s="97">
        <f t="shared" ref="F507:F513" si="13">D507*E507</f>
        <v>44.532499999999999</v>
      </c>
      <c r="G507" s="97">
        <f>D507</f>
        <v>9.4749999999999996</v>
      </c>
      <c r="H507" s="98"/>
      <c r="I507" s="99">
        <f>D509</f>
        <v>6.5739999999999998</v>
      </c>
      <c r="J507" s="99">
        <f>D508</f>
        <v>11.458</v>
      </c>
      <c r="K507" s="99">
        <f>D510</f>
        <v>18.097999999999999</v>
      </c>
      <c r="L507" s="99">
        <f>D512</f>
        <v>11.458</v>
      </c>
      <c r="M507" s="99">
        <f>D511</f>
        <v>6.5739999999999998</v>
      </c>
      <c r="N507" s="100"/>
      <c r="O507" s="100">
        <f>D513</f>
        <v>9.4749999999999996</v>
      </c>
      <c r="P507" s="99">
        <f>E507</f>
        <v>4.7</v>
      </c>
      <c r="Q507" s="99"/>
      <c r="R507" s="99">
        <f>E509</f>
        <v>3.35</v>
      </c>
      <c r="S507" s="99">
        <f>E508</f>
        <v>3.95</v>
      </c>
      <c r="T507" s="99">
        <f>E510</f>
        <v>2.9</v>
      </c>
      <c r="U507" s="99">
        <f>E512</f>
        <v>3.95</v>
      </c>
      <c r="V507" s="99">
        <f>E511</f>
        <v>3.35</v>
      </c>
      <c r="W507" s="100"/>
      <c r="X507" s="100">
        <f>E513</f>
        <v>4.7</v>
      </c>
      <c r="Y507" s="99"/>
      <c r="Z507" s="99">
        <f>I507*R507+M507*V507</f>
        <v>44.0458</v>
      </c>
      <c r="AA507" s="99">
        <f>J507*S507+L507*U507</f>
        <v>90.518200000000007</v>
      </c>
      <c r="AB507" s="99">
        <f>K507*T507</f>
        <v>52.484199999999994</v>
      </c>
      <c r="AC507" s="100">
        <f>O507*X507+G507*P507</f>
        <v>89.064999999999998</v>
      </c>
      <c r="AD507" s="99">
        <f>Y507+Z507+AA507+AB507+AC507</f>
        <v>276.11320000000001</v>
      </c>
      <c r="AE507" s="99">
        <f>AD507-AC507</f>
        <v>187.04820000000001</v>
      </c>
    </row>
    <row r="508" spans="1:31" x14ac:dyDescent="0.35">
      <c r="B508" s="101"/>
      <c r="C508" s="102" t="s">
        <v>559</v>
      </c>
      <c r="D508" s="98">
        <v>11.458</v>
      </c>
      <c r="E508" s="99">
        <v>3.95</v>
      </c>
      <c r="F508" s="100">
        <f t="shared" si="13"/>
        <v>45.259100000000004</v>
      </c>
      <c r="G508" s="103"/>
      <c r="H508" s="104"/>
      <c r="I508" s="104"/>
      <c r="J508" s="104"/>
      <c r="K508" s="104"/>
      <c r="L508" s="104"/>
      <c r="M508" s="104"/>
      <c r="N508" s="104"/>
      <c r="O508" s="104"/>
      <c r="P508" s="101"/>
      <c r="Q508" s="104"/>
      <c r="R508" s="104"/>
      <c r="S508" s="104"/>
      <c r="T508" s="104"/>
      <c r="U508" s="104"/>
      <c r="V508" s="104"/>
      <c r="W508" s="104"/>
      <c r="X508" s="104"/>
      <c r="Y508" s="101"/>
      <c r="Z508" s="104"/>
      <c r="AA508" s="104"/>
      <c r="AB508" s="104"/>
      <c r="AC508" s="104"/>
      <c r="AD508" s="101"/>
      <c r="AE508" s="105"/>
    </row>
    <row r="509" spans="1:31" x14ac:dyDescent="0.35">
      <c r="B509" s="106"/>
      <c r="C509" s="102" t="s">
        <v>503</v>
      </c>
      <c r="D509" s="98">
        <v>6.5739999999999998</v>
      </c>
      <c r="E509" s="99">
        <v>3.35</v>
      </c>
      <c r="F509" s="100">
        <f t="shared" si="13"/>
        <v>22.0229</v>
      </c>
    </row>
    <row r="510" spans="1:31" x14ac:dyDescent="0.35">
      <c r="B510" s="106"/>
      <c r="C510" s="102" t="s">
        <v>504</v>
      </c>
      <c r="D510" s="98">
        <v>18.097999999999999</v>
      </c>
      <c r="E510" s="99">
        <v>2.9</v>
      </c>
      <c r="F510" s="100">
        <f t="shared" si="13"/>
        <v>52.484199999999994</v>
      </c>
    </row>
    <row r="511" spans="1:31" x14ac:dyDescent="0.35">
      <c r="B511" s="106"/>
      <c r="C511" s="102" t="s">
        <v>503</v>
      </c>
      <c r="D511" s="98">
        <v>6.5739999999999998</v>
      </c>
      <c r="E511" s="99">
        <v>3.35</v>
      </c>
      <c r="F511" s="100">
        <f t="shared" si="13"/>
        <v>22.0229</v>
      </c>
    </row>
    <row r="512" spans="1:31" x14ac:dyDescent="0.35">
      <c r="B512" s="106"/>
      <c r="C512" s="102" t="s">
        <v>12</v>
      </c>
      <c r="D512" s="98">
        <v>11.458</v>
      </c>
      <c r="E512" s="99">
        <v>3.95</v>
      </c>
      <c r="F512" s="100">
        <f t="shared" si="13"/>
        <v>45.259100000000004</v>
      </c>
    </row>
    <row r="513" spans="2:31" x14ac:dyDescent="0.35">
      <c r="B513" s="106"/>
      <c r="C513" s="102" t="s">
        <v>558</v>
      </c>
      <c r="D513" s="98">
        <v>9.4749999999999996</v>
      </c>
      <c r="E513" s="99">
        <v>4.7</v>
      </c>
      <c r="F513" s="100">
        <f t="shared" si="13"/>
        <v>44.532499999999999</v>
      </c>
    </row>
    <row r="514" spans="2:31" x14ac:dyDescent="0.35">
      <c r="B514" s="106"/>
      <c r="C514" s="94" t="s">
        <v>491</v>
      </c>
      <c r="D514" s="95">
        <f>SUM(D507:D513)</f>
        <v>73.111999999999995</v>
      </c>
      <c r="E514" s="96"/>
      <c r="F514" s="97">
        <f>SUM(F507:F513)</f>
        <v>276.11320000000001</v>
      </c>
      <c r="I514" s="109"/>
      <c r="J514" s="109"/>
      <c r="K514" s="109"/>
      <c r="L514" s="109"/>
      <c r="M514" s="109"/>
      <c r="N514" s="109"/>
      <c r="O514" s="109"/>
      <c r="P514" s="107"/>
      <c r="Q514" s="109"/>
      <c r="R514" s="109"/>
      <c r="S514" s="109"/>
      <c r="T514" s="109"/>
      <c r="U514" s="109"/>
      <c r="V514" s="109"/>
      <c r="W514" s="109"/>
      <c r="X514" s="109"/>
      <c r="Y514" s="107"/>
      <c r="Z514" s="109"/>
      <c r="AA514" s="109"/>
      <c r="AB514" s="109"/>
      <c r="AC514" s="109"/>
      <c r="AD514" s="107"/>
      <c r="AE514" s="110"/>
    </row>
    <row r="515" spans="2:31" x14ac:dyDescent="0.35">
      <c r="B515" s="93"/>
      <c r="C515" s="102" t="s">
        <v>492</v>
      </c>
      <c r="D515" s="98">
        <f>D514-D513</f>
        <v>63.636999999999993</v>
      </c>
      <c r="E515" s="99"/>
      <c r="F515" s="100">
        <f>F514-F513-F507</f>
        <v>187.04820000000001</v>
      </c>
      <c r="G515" s="97"/>
      <c r="H515" s="111"/>
      <c r="I515" s="111"/>
      <c r="J515" s="111"/>
      <c r="K515" s="111"/>
      <c r="L515" s="111"/>
      <c r="M515" s="111"/>
      <c r="N515" s="111"/>
      <c r="O515" s="111"/>
      <c r="P515" s="93"/>
      <c r="Q515" s="111"/>
      <c r="R515" s="111"/>
      <c r="S515" s="111"/>
      <c r="T515" s="111"/>
      <c r="U515" s="111"/>
      <c r="V515" s="111"/>
      <c r="W515" s="111"/>
      <c r="X515" s="111"/>
      <c r="Y515" s="93"/>
      <c r="Z515" s="111"/>
      <c r="AA515" s="111"/>
      <c r="AB515" s="111"/>
      <c r="AC515" s="111"/>
      <c r="AD515" s="93"/>
      <c r="AE515" s="112"/>
    </row>
  </sheetData>
  <printOptions gridLines="1"/>
  <pageMargins left="0.78740157499999996" right="0.78740157499999996" top="0.984251969" bottom="0.984251969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Info</vt:lpstr>
      <vt:lpstr>Daten</vt:lpstr>
      <vt:lpstr>W_Fläche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Lorenzo Marrandino</dc:creator>
  <cp:lastModifiedBy>Lorenzo Marrandino</cp:lastModifiedBy>
  <dcterms:created xsi:type="dcterms:W3CDTF">2025-02-06T09:58:01Z</dcterms:created>
  <dcterms:modified xsi:type="dcterms:W3CDTF">2025-02-06T09:58:01Z</dcterms:modified>
</cp:coreProperties>
</file>